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AP\WAK\Wewnętrzny\NK_2021-2027\NK 2021 koszty jedn\"/>
    </mc:Choice>
  </mc:AlternateContent>
  <bookViews>
    <workbookView xWindow="0" yWindow="0" windowWidth="28800" windowHeight="12435" tabRatio="934"/>
  </bookViews>
  <sheets>
    <sheet name="Spis tabel" sheetId="29" r:id="rId1"/>
    <sheet name="Indeksacja" sheetId="8" r:id="rId2"/>
    <sheet name="VoT czas pasażerowie" sheetId="30" r:id="rId3"/>
    <sheet name="VoT czas ładunki" sheetId="31" r:id="rId4"/>
    <sheet name="VOC eksploatacja samochody" sheetId="14" r:id="rId5"/>
    <sheet name="VOC eksploatacja pociągi" sheetId="32" r:id="rId6"/>
    <sheet name="Zmiany klimatu (GHG) samochody" sheetId="17" r:id="rId7"/>
    <sheet name="Zmiany klimatu (GHG) pociągi" sheetId="13" r:id="rId8"/>
    <sheet name="Zanieczyszczenia samochody" sheetId="19" r:id="rId9"/>
    <sheet name="Zanieczyszczenia pociągi" sheetId="26" r:id="rId10"/>
    <sheet name="Zanieczyszczenia transp.ląd" sheetId="16" r:id="rId11"/>
    <sheet name="Hałas-zdezagr.krańc" sheetId="24" r:id="rId12"/>
    <sheet name="Hałas-zagreg.śred.PL" sheetId="23" r:id="rId13"/>
    <sheet name="Wypadki" sheetId="22" r:id="rId14"/>
    <sheet name="ECT2019 koszty zewnętrzne" sheetId="28" r:id="rId15"/>
    <sheet name="Utrzymanie dróg" sheetId="33" r:id="rId16"/>
    <sheet name="E-Busy emisje" sheetId="34"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4" i="33" l="1"/>
  <c r="V43" i="33"/>
  <c r="V42" i="33"/>
  <c r="V41" i="33"/>
  <c r="V40" i="33"/>
  <c r="V39" i="33"/>
  <c r="V20" i="33"/>
  <c r="V19" i="33"/>
  <c r="V18" i="33"/>
  <c r="V17" i="33"/>
  <c r="V16" i="33"/>
  <c r="V15" i="33"/>
  <c r="T44" i="33" l="1"/>
  <c r="U44" i="33" s="1"/>
  <c r="W44" i="33" s="1"/>
  <c r="T43" i="33"/>
  <c r="U43" i="33" s="1"/>
  <c r="W43" i="33" s="1"/>
  <c r="T42" i="33"/>
  <c r="U42" i="33" s="1"/>
  <c r="W42" i="33" s="1"/>
  <c r="T41" i="33"/>
  <c r="U41" i="33" s="1"/>
  <c r="W41" i="33" s="1"/>
  <c r="T40" i="33"/>
  <c r="U40" i="33" s="1"/>
  <c r="W40" i="33" s="1"/>
  <c r="T39" i="33"/>
  <c r="U39" i="33" s="1"/>
  <c r="W39" i="33" s="1"/>
  <c r="T20" i="33"/>
  <c r="U20" i="33" s="1"/>
  <c r="W20" i="33" s="1"/>
  <c r="T19" i="33"/>
  <c r="U19" i="33" s="1"/>
  <c r="W19" i="33" s="1"/>
  <c r="T18" i="33"/>
  <c r="U18" i="33" s="1"/>
  <c r="W18" i="33" s="1"/>
  <c r="T17" i="33"/>
  <c r="U17" i="33" s="1"/>
  <c r="W17" i="33" s="1"/>
  <c r="T16" i="33"/>
  <c r="U16" i="33" s="1"/>
  <c r="W16" i="33" s="1"/>
  <c r="T15" i="33"/>
  <c r="U15" i="33" s="1"/>
  <c r="W15" i="33" s="1"/>
  <c r="R105" i="17" l="1"/>
  <c r="S105" i="17" s="1"/>
  <c r="T105" i="17" s="1"/>
  <c r="H91" i="34" l="1"/>
  <c r="G91" i="34"/>
  <c r="F91" i="34"/>
  <c r="E91" i="34"/>
  <c r="B93" i="34" l="1"/>
  <c r="B80" i="34" l="1"/>
  <c r="B79" i="34"/>
  <c r="B82" i="34" s="1"/>
  <c r="H75" i="34"/>
  <c r="G75" i="34"/>
  <c r="F75" i="34"/>
  <c r="A233" i="24" l="1" a="1"/>
  <c r="A233" i="24" s="1"/>
  <c r="R232" i="24"/>
  <c r="S232" i="24" s="1"/>
  <c r="T232" i="24" s="1"/>
  <c r="U232" i="24" s="1"/>
  <c r="V232" i="24" s="1"/>
  <c r="W232" i="24" s="1"/>
  <c r="X232" i="24" s="1"/>
  <c r="Y232" i="24" s="1"/>
  <c r="Z232" i="24" s="1"/>
  <c r="AA232" i="24" s="1"/>
  <c r="AB232" i="24" s="1"/>
  <c r="AC232" i="24" s="1"/>
  <c r="AD232" i="24" s="1"/>
  <c r="AE232" i="24" s="1"/>
  <c r="AF232" i="24" s="1"/>
  <c r="AG232" i="24" s="1"/>
  <c r="AH232" i="24" s="1"/>
  <c r="AI232" i="24" s="1"/>
  <c r="AJ232" i="24" s="1"/>
  <c r="AK232" i="24" s="1"/>
  <c r="AL232" i="24" s="1"/>
  <c r="AM232" i="24" s="1"/>
  <c r="AN232" i="24" s="1"/>
  <c r="AO232" i="24" s="1"/>
  <c r="AP232" i="24" s="1"/>
  <c r="AQ232" i="24" s="1"/>
  <c r="AR232" i="24" s="1"/>
  <c r="AS232" i="24" s="1"/>
  <c r="AT232" i="24" s="1"/>
  <c r="AU232" i="24" s="1"/>
  <c r="AV232" i="24" s="1"/>
  <c r="AW232" i="24" s="1"/>
  <c r="AX232" i="24" s="1"/>
  <c r="AY232" i="24" s="1"/>
  <c r="AZ232" i="24" s="1"/>
  <c r="BA232" i="24" s="1"/>
  <c r="BB232" i="24" s="1"/>
  <c r="BC232" i="24" s="1"/>
  <c r="BD232" i="24" s="1"/>
  <c r="BE232" i="24" s="1"/>
  <c r="BF232" i="24" s="1"/>
  <c r="BG232" i="24" s="1"/>
  <c r="BH232" i="24" s="1"/>
  <c r="BI232" i="24" s="1"/>
  <c r="Q232" i="24"/>
  <c r="U231" i="24"/>
  <c r="V231" i="24" s="1"/>
  <c r="W231" i="24" s="1"/>
  <c r="X231" i="24" s="1"/>
  <c r="Y231" i="24" s="1"/>
  <c r="Z231" i="24" s="1"/>
  <c r="AA231" i="24" s="1"/>
  <c r="AB231" i="24" s="1"/>
  <c r="AC231" i="24" s="1"/>
  <c r="AD231" i="24" s="1"/>
  <c r="AE231" i="24" s="1"/>
  <c r="AF231" i="24" s="1"/>
  <c r="AG231" i="24" s="1"/>
  <c r="AH231" i="24" s="1"/>
  <c r="AI231" i="24" s="1"/>
  <c r="AJ231" i="24" s="1"/>
  <c r="AK231" i="24" s="1"/>
  <c r="AL231" i="24" s="1"/>
  <c r="AM231" i="24" s="1"/>
  <c r="AN231" i="24" s="1"/>
  <c r="AO231" i="24" s="1"/>
  <c r="AP231" i="24" s="1"/>
  <c r="AQ231" i="24" s="1"/>
  <c r="AR231" i="24" s="1"/>
  <c r="AS231" i="24" s="1"/>
  <c r="AT231" i="24" s="1"/>
  <c r="AU231" i="24" s="1"/>
  <c r="AV231" i="24" s="1"/>
  <c r="AW231" i="24" s="1"/>
  <c r="AX231" i="24" s="1"/>
  <c r="AY231" i="24" s="1"/>
  <c r="AZ231" i="24" s="1"/>
  <c r="BA231" i="24" s="1"/>
  <c r="BB231" i="24" s="1"/>
  <c r="BC231" i="24" s="1"/>
  <c r="BD231" i="24" s="1"/>
  <c r="BE231" i="24" s="1"/>
  <c r="BF231" i="24" s="1"/>
  <c r="BG231" i="24" s="1"/>
  <c r="BH231" i="24" s="1"/>
  <c r="BI231" i="24" s="1"/>
  <c r="A236" i="24" l="1"/>
  <c r="A235" i="24"/>
  <c r="A234" i="24"/>
  <c r="A237" i="24"/>
  <c r="A39" i="13" l="1"/>
  <c r="A38" i="13"/>
  <c r="A37" i="13"/>
  <c r="A36" i="13"/>
  <c r="A33" i="13"/>
  <c r="A35" i="13"/>
  <c r="A6" i="23" l="1"/>
  <c r="A5" i="23"/>
  <c r="A4" i="24"/>
  <c r="U86" i="26" l="1"/>
  <c r="V86" i="26" s="1"/>
  <c r="U147" i="19"/>
  <c r="V147" i="19" s="1"/>
  <c r="U133" i="19"/>
  <c r="V133" i="19" s="1"/>
  <c r="B10" i="32"/>
  <c r="B9" i="32"/>
  <c r="B8" i="32"/>
  <c r="B7" i="32"/>
  <c r="A10" i="32"/>
  <c r="A9" i="32"/>
  <c r="A8" i="32"/>
  <c r="A7" i="32"/>
  <c r="A36" i="17" l="1"/>
  <c r="A111" i="17" s="1"/>
  <c r="A63" i="32"/>
  <c r="A62" i="32"/>
  <c r="A61" i="32"/>
  <c r="A60" i="32"/>
  <c r="A59" i="32"/>
  <c r="A58" i="32"/>
  <c r="A56" i="32"/>
  <c r="A55" i="32"/>
  <c r="A54" i="32"/>
  <c r="A53" i="32"/>
  <c r="A52" i="32"/>
  <c r="A51" i="32"/>
  <c r="A328" i="14"/>
  <c r="A327" i="14"/>
  <c r="A326" i="14"/>
  <c r="A325" i="14"/>
  <c r="A324" i="14"/>
  <c r="A323" i="14"/>
  <c r="A322" i="14"/>
  <c r="A320" i="14"/>
  <c r="A319" i="14"/>
  <c r="A318" i="14"/>
  <c r="A317" i="14"/>
  <c r="A316" i="14"/>
  <c r="A315" i="14"/>
  <c r="A321" i="14"/>
  <c r="A313" i="14"/>
  <c r="A312" i="14"/>
  <c r="A311" i="14"/>
  <c r="A310" i="14"/>
  <c r="A309" i="14"/>
  <c r="A308" i="14"/>
  <c r="A307" i="14"/>
  <c r="A305" i="14"/>
  <c r="A304" i="14"/>
  <c r="A303" i="14"/>
  <c r="A302" i="14"/>
  <c r="A301" i="14"/>
  <c r="A300" i="14"/>
  <c r="A306" i="14"/>
  <c r="A221" i="14"/>
  <c r="A149" i="14"/>
  <c r="A32" i="28"/>
  <c r="A108" i="24" l="1"/>
  <c r="A80" i="23"/>
  <c r="A45" i="16"/>
  <c r="A53" i="26"/>
  <c r="A91" i="19"/>
  <c r="A30" i="32"/>
  <c r="A36" i="32"/>
  <c r="U86" i="33"/>
  <c r="V86" i="33" s="1"/>
  <c r="W86" i="33" s="1"/>
  <c r="X86" i="33" s="1"/>
  <c r="Y86" i="33" s="1"/>
  <c r="Z86" i="33" s="1"/>
  <c r="AA86" i="33" s="1"/>
  <c r="AB86" i="33" s="1"/>
  <c r="AC86" i="33" s="1"/>
  <c r="AD86" i="33" s="1"/>
  <c r="AE86" i="33" s="1"/>
  <c r="AF86" i="33" s="1"/>
  <c r="AG86" i="33" s="1"/>
  <c r="AH86" i="33" s="1"/>
  <c r="AI86" i="33" s="1"/>
  <c r="AJ86" i="33" s="1"/>
  <c r="AK86" i="33" s="1"/>
  <c r="AL86" i="33" s="1"/>
  <c r="AM86" i="33" s="1"/>
  <c r="AN86" i="33" s="1"/>
  <c r="AO86" i="33" s="1"/>
  <c r="AP86" i="33" s="1"/>
  <c r="AQ86" i="33" s="1"/>
  <c r="AR86" i="33" s="1"/>
  <c r="AS86" i="33" s="1"/>
  <c r="AT86" i="33" s="1"/>
  <c r="AU86" i="33" s="1"/>
  <c r="AV86" i="33" s="1"/>
  <c r="AW86" i="33" s="1"/>
  <c r="AX86" i="33" s="1"/>
  <c r="AY86" i="33" s="1"/>
  <c r="AZ86" i="33" s="1"/>
  <c r="BA86" i="33" s="1"/>
  <c r="BB86" i="33" s="1"/>
  <c r="BC86" i="33" s="1"/>
  <c r="BD86" i="33" s="1"/>
  <c r="BE86" i="33" s="1"/>
  <c r="BF86" i="33" s="1"/>
  <c r="BG86" i="33" s="1"/>
  <c r="BH86" i="33" s="1"/>
  <c r="BI86" i="33" s="1"/>
  <c r="N38" i="33"/>
  <c r="O38" i="33" s="1"/>
  <c r="P38" i="33" s="1"/>
  <c r="Q38" i="33" s="1"/>
  <c r="R38" i="33" s="1"/>
  <c r="S38" i="33" s="1"/>
  <c r="T38" i="33" s="1"/>
  <c r="U38" i="33" s="1"/>
  <c r="V38" i="33" s="1"/>
  <c r="W38" i="33" s="1"/>
  <c r="X38" i="33" s="1"/>
  <c r="Y38" i="33" s="1"/>
  <c r="Z38" i="33" s="1"/>
  <c r="AA38" i="33" s="1"/>
  <c r="AB38" i="33" s="1"/>
  <c r="AC38" i="33" s="1"/>
  <c r="AD38" i="33" s="1"/>
  <c r="AE38" i="33" s="1"/>
  <c r="AF38" i="33" s="1"/>
  <c r="AG38" i="33" s="1"/>
  <c r="AH38" i="33" s="1"/>
  <c r="AI38" i="33" s="1"/>
  <c r="AJ38" i="33" s="1"/>
  <c r="AK38" i="33" s="1"/>
  <c r="AL38" i="33" s="1"/>
  <c r="AM38" i="33" s="1"/>
  <c r="AN38" i="33" s="1"/>
  <c r="AO38" i="33" s="1"/>
  <c r="AP38" i="33" s="1"/>
  <c r="AQ38" i="33" s="1"/>
  <c r="AR38" i="33" s="1"/>
  <c r="AS38" i="33" s="1"/>
  <c r="AT38" i="33" s="1"/>
  <c r="AU38" i="33" s="1"/>
  <c r="AV38" i="33" s="1"/>
  <c r="AW38" i="33" s="1"/>
  <c r="AX38" i="33" s="1"/>
  <c r="AY38" i="33" s="1"/>
  <c r="AZ38" i="33" s="1"/>
  <c r="BA38" i="33" s="1"/>
  <c r="BB38" i="33" s="1"/>
  <c r="BC38" i="33" s="1"/>
  <c r="BD38" i="33" s="1"/>
  <c r="BE38" i="33" s="1"/>
  <c r="BF38" i="33" s="1"/>
  <c r="BG38" i="33" s="1"/>
  <c r="BH38" i="33" s="1"/>
  <c r="BI38" i="33" s="1"/>
  <c r="N14" i="33"/>
  <c r="O14" i="33" s="1"/>
  <c r="P14" i="33" s="1"/>
  <c r="Q14" i="33" s="1"/>
  <c r="R14" i="33" s="1"/>
  <c r="S14" i="33" s="1"/>
  <c r="T14" i="33" s="1"/>
  <c r="U14" i="33" s="1"/>
  <c r="V14" i="33" s="1"/>
  <c r="W14" i="33" s="1"/>
  <c r="X14" i="33" s="1"/>
  <c r="Y14" i="33" s="1"/>
  <c r="Z14" i="33" s="1"/>
  <c r="AA14" i="33" s="1"/>
  <c r="AB14" i="33" s="1"/>
  <c r="AC14" i="33" s="1"/>
  <c r="AD14" i="33" s="1"/>
  <c r="AE14" i="33" s="1"/>
  <c r="AF14" i="33" s="1"/>
  <c r="AG14" i="33" s="1"/>
  <c r="AH14" i="33" s="1"/>
  <c r="AI14" i="33" s="1"/>
  <c r="AJ14" i="33" s="1"/>
  <c r="AK14" i="33" s="1"/>
  <c r="AL14" i="33" s="1"/>
  <c r="AM14" i="33" s="1"/>
  <c r="AN14" i="33" s="1"/>
  <c r="AO14" i="33" s="1"/>
  <c r="AP14" i="33" s="1"/>
  <c r="AQ14" i="33" s="1"/>
  <c r="AR14" i="33" s="1"/>
  <c r="AS14" i="33" s="1"/>
  <c r="AT14" i="33" s="1"/>
  <c r="AU14" i="33" s="1"/>
  <c r="AV14" i="33" s="1"/>
  <c r="AW14" i="33" s="1"/>
  <c r="AX14" i="33" s="1"/>
  <c r="AY14" i="33" s="1"/>
  <c r="AZ14" i="33" s="1"/>
  <c r="BA14" i="33" s="1"/>
  <c r="BB14" i="33" s="1"/>
  <c r="BC14" i="33" s="1"/>
  <c r="BD14" i="33" s="1"/>
  <c r="BE14" i="33" s="1"/>
  <c r="BF14" i="33" s="1"/>
  <c r="BG14" i="33" s="1"/>
  <c r="BH14" i="33" s="1"/>
  <c r="BI14" i="33" s="1"/>
  <c r="C90" i="28"/>
  <c r="D90" i="28" s="1"/>
  <c r="E90" i="28" s="1"/>
  <c r="F90" i="28" s="1"/>
  <c r="G90" i="28" s="1"/>
  <c r="H90" i="28" s="1"/>
  <c r="I90" i="28" s="1"/>
  <c r="J90" i="28" s="1"/>
  <c r="K90" i="28" s="1"/>
  <c r="L90" i="28" s="1"/>
  <c r="M90" i="28" s="1"/>
  <c r="N90" i="28" s="1"/>
  <c r="O90" i="28" s="1"/>
  <c r="P90" i="28" s="1"/>
  <c r="Q90" i="28" s="1"/>
  <c r="C84" i="28"/>
  <c r="D84" i="28" s="1"/>
  <c r="E84" i="28" s="1"/>
  <c r="F84" i="28" s="1"/>
  <c r="G84" i="28" s="1"/>
  <c r="H84" i="28" s="1"/>
  <c r="I84" i="28" s="1"/>
  <c r="J84" i="28" s="1"/>
  <c r="K84" i="28" s="1"/>
  <c r="L84" i="28" s="1"/>
  <c r="M84" i="28" s="1"/>
  <c r="N84" i="28" s="1"/>
  <c r="O84" i="28" s="1"/>
  <c r="P84" i="28" s="1"/>
  <c r="Q84" i="28" s="1"/>
  <c r="D83" i="28"/>
  <c r="E83" i="28" s="1"/>
  <c r="F83" i="28" s="1"/>
  <c r="G83" i="28" s="1"/>
  <c r="H83" i="28" s="1"/>
  <c r="I83" i="28" s="1"/>
  <c r="J83" i="28" s="1"/>
  <c r="K83" i="28" s="1"/>
  <c r="L83" i="28" s="1"/>
  <c r="M83" i="28" s="1"/>
  <c r="N83" i="28" s="1"/>
  <c r="O83" i="28" s="1"/>
  <c r="P83" i="28" s="1"/>
  <c r="R40" i="22"/>
  <c r="S40" i="22" s="1"/>
  <c r="T40" i="22" s="1"/>
  <c r="U40" i="22" s="1"/>
  <c r="V40" i="22" s="1"/>
  <c r="W40" i="22" s="1"/>
  <c r="X40" i="22" s="1"/>
  <c r="Y40" i="22" s="1"/>
  <c r="Z40" i="22" s="1"/>
  <c r="AA40" i="22" s="1"/>
  <c r="AB40" i="22" s="1"/>
  <c r="AC40" i="22" s="1"/>
  <c r="AD40" i="22" s="1"/>
  <c r="AE40" i="22" s="1"/>
  <c r="AF40" i="22" s="1"/>
  <c r="AG40" i="22" s="1"/>
  <c r="AH40" i="22" s="1"/>
  <c r="AI40" i="22" s="1"/>
  <c r="AJ40" i="22" s="1"/>
  <c r="AK40" i="22" s="1"/>
  <c r="AL40" i="22" s="1"/>
  <c r="AM40" i="22" s="1"/>
  <c r="AN40" i="22" s="1"/>
  <c r="AO40" i="22" s="1"/>
  <c r="AP40" i="22" s="1"/>
  <c r="AQ40" i="22" s="1"/>
  <c r="AR40" i="22" s="1"/>
  <c r="AS40" i="22" s="1"/>
  <c r="AT40" i="22" s="1"/>
  <c r="AU40" i="22" s="1"/>
  <c r="AV40" i="22" s="1"/>
  <c r="AW40" i="22" s="1"/>
  <c r="AX40" i="22" s="1"/>
  <c r="AY40" i="22" s="1"/>
  <c r="AZ40" i="22" s="1"/>
  <c r="BA40" i="22" s="1"/>
  <c r="BB40" i="22" s="1"/>
  <c r="BC40" i="22" s="1"/>
  <c r="BD40" i="22" s="1"/>
  <c r="BE40" i="22" s="1"/>
  <c r="BF40" i="22" s="1"/>
  <c r="BG40" i="22" s="1"/>
  <c r="BH40" i="22" s="1"/>
  <c r="BI40" i="22" s="1"/>
  <c r="Q40" i="22"/>
  <c r="R223" i="24"/>
  <c r="S223" i="24" s="1"/>
  <c r="T223" i="24" s="1"/>
  <c r="U223" i="24" s="1"/>
  <c r="V223" i="24" s="1"/>
  <c r="W223" i="24" s="1"/>
  <c r="X223" i="24" s="1"/>
  <c r="Y223" i="24" s="1"/>
  <c r="Z223" i="24" s="1"/>
  <c r="AA223" i="24" s="1"/>
  <c r="AB223" i="24" s="1"/>
  <c r="AC223" i="24" s="1"/>
  <c r="AD223" i="24" s="1"/>
  <c r="AE223" i="24" s="1"/>
  <c r="AF223" i="24" s="1"/>
  <c r="AG223" i="24" s="1"/>
  <c r="AH223" i="24" s="1"/>
  <c r="AI223" i="24" s="1"/>
  <c r="AJ223" i="24" s="1"/>
  <c r="AK223" i="24" s="1"/>
  <c r="AL223" i="24" s="1"/>
  <c r="AM223" i="24" s="1"/>
  <c r="AN223" i="24" s="1"/>
  <c r="AO223" i="24" s="1"/>
  <c r="AP223" i="24" s="1"/>
  <c r="AQ223" i="24" s="1"/>
  <c r="AR223" i="24" s="1"/>
  <c r="AS223" i="24" s="1"/>
  <c r="AT223" i="24" s="1"/>
  <c r="AU223" i="24" s="1"/>
  <c r="AV223" i="24" s="1"/>
  <c r="AW223" i="24" s="1"/>
  <c r="AX223" i="24" s="1"/>
  <c r="AY223" i="24" s="1"/>
  <c r="AZ223" i="24" s="1"/>
  <c r="BA223" i="24" s="1"/>
  <c r="BB223" i="24" s="1"/>
  <c r="BC223" i="24" s="1"/>
  <c r="BD223" i="24" s="1"/>
  <c r="BE223" i="24" s="1"/>
  <c r="BF223" i="24" s="1"/>
  <c r="BG223" i="24" s="1"/>
  <c r="BH223" i="24" s="1"/>
  <c r="BI223" i="24" s="1"/>
  <c r="Q223" i="24"/>
  <c r="Q165" i="24"/>
  <c r="R165" i="24" s="1"/>
  <c r="S165" i="24" s="1"/>
  <c r="T165" i="24" s="1"/>
  <c r="U165" i="24" s="1"/>
  <c r="V165" i="24" s="1"/>
  <c r="W165" i="24" s="1"/>
  <c r="X165" i="24" s="1"/>
  <c r="Y165" i="24" s="1"/>
  <c r="Z165" i="24" s="1"/>
  <c r="AA165" i="24" s="1"/>
  <c r="AB165" i="24" s="1"/>
  <c r="AC165" i="24" s="1"/>
  <c r="AD165" i="24" s="1"/>
  <c r="AE165" i="24" s="1"/>
  <c r="AF165" i="24" s="1"/>
  <c r="AG165" i="24" s="1"/>
  <c r="AH165" i="24" s="1"/>
  <c r="AI165" i="24" s="1"/>
  <c r="AJ165" i="24" s="1"/>
  <c r="AK165" i="24" s="1"/>
  <c r="AL165" i="24" s="1"/>
  <c r="AM165" i="24" s="1"/>
  <c r="AN165" i="24" s="1"/>
  <c r="AO165" i="24" s="1"/>
  <c r="AP165" i="24" s="1"/>
  <c r="AQ165" i="24" s="1"/>
  <c r="AR165" i="24" s="1"/>
  <c r="AS165" i="24" s="1"/>
  <c r="AT165" i="24" s="1"/>
  <c r="AU165" i="24" s="1"/>
  <c r="AV165" i="24" s="1"/>
  <c r="AW165" i="24" s="1"/>
  <c r="AX165" i="24" s="1"/>
  <c r="AY165" i="24" s="1"/>
  <c r="AZ165" i="24" s="1"/>
  <c r="BA165" i="24" s="1"/>
  <c r="BB165" i="24" s="1"/>
  <c r="BC165" i="24" s="1"/>
  <c r="BD165" i="24" s="1"/>
  <c r="BE165" i="24" s="1"/>
  <c r="BF165" i="24" s="1"/>
  <c r="BG165" i="24" s="1"/>
  <c r="BH165" i="24" s="1"/>
  <c r="BI165" i="24" s="1"/>
  <c r="Q140" i="24"/>
  <c r="R140" i="24" s="1"/>
  <c r="S140" i="24" s="1"/>
  <c r="T140" i="24" s="1"/>
  <c r="U140" i="24" s="1"/>
  <c r="V140" i="24" s="1"/>
  <c r="W140" i="24" s="1"/>
  <c r="X140" i="24" s="1"/>
  <c r="Y140" i="24" s="1"/>
  <c r="Z140" i="24" s="1"/>
  <c r="AA140" i="24" s="1"/>
  <c r="AB140" i="24" s="1"/>
  <c r="AC140" i="24" s="1"/>
  <c r="AD140" i="24" s="1"/>
  <c r="AE140" i="24" s="1"/>
  <c r="AF140" i="24" s="1"/>
  <c r="AG140" i="24" s="1"/>
  <c r="AH140" i="24" s="1"/>
  <c r="AI140" i="24" s="1"/>
  <c r="AJ140" i="24" s="1"/>
  <c r="AK140" i="24" s="1"/>
  <c r="AL140" i="24" s="1"/>
  <c r="AM140" i="24" s="1"/>
  <c r="AN140" i="24" s="1"/>
  <c r="AO140" i="24" s="1"/>
  <c r="AP140" i="24" s="1"/>
  <c r="AQ140" i="24" s="1"/>
  <c r="AR140" i="24" s="1"/>
  <c r="AS140" i="24" s="1"/>
  <c r="AT140" i="24" s="1"/>
  <c r="AU140" i="24" s="1"/>
  <c r="AV140" i="24" s="1"/>
  <c r="AW140" i="24" s="1"/>
  <c r="AX140" i="24" s="1"/>
  <c r="AY140" i="24" s="1"/>
  <c r="AZ140" i="24" s="1"/>
  <c r="BA140" i="24" s="1"/>
  <c r="BB140" i="24" s="1"/>
  <c r="BC140" i="24" s="1"/>
  <c r="BD140" i="24" s="1"/>
  <c r="BE140" i="24" s="1"/>
  <c r="BF140" i="24" s="1"/>
  <c r="BG140" i="24" s="1"/>
  <c r="BH140" i="24" s="1"/>
  <c r="BI140" i="24" s="1"/>
  <c r="Q114" i="24"/>
  <c r="R114" i="24" s="1"/>
  <c r="S114" i="24" s="1"/>
  <c r="T114" i="24" s="1"/>
  <c r="U114" i="24" s="1"/>
  <c r="V114" i="24" s="1"/>
  <c r="W114" i="24" s="1"/>
  <c r="X114" i="24" s="1"/>
  <c r="Y114" i="24" s="1"/>
  <c r="Z114" i="24" s="1"/>
  <c r="AA114" i="24" s="1"/>
  <c r="AB114" i="24" s="1"/>
  <c r="AC114" i="24" s="1"/>
  <c r="AD114" i="24" s="1"/>
  <c r="AE114" i="24" s="1"/>
  <c r="AF114" i="24" s="1"/>
  <c r="AG114" i="24" s="1"/>
  <c r="AH114" i="24" s="1"/>
  <c r="AI114" i="24" s="1"/>
  <c r="AJ114" i="24" s="1"/>
  <c r="AK114" i="24" s="1"/>
  <c r="AL114" i="24" s="1"/>
  <c r="AM114" i="24" s="1"/>
  <c r="AN114" i="24" s="1"/>
  <c r="AO114" i="24" s="1"/>
  <c r="AP114" i="24" s="1"/>
  <c r="AQ114" i="24" s="1"/>
  <c r="AR114" i="24" s="1"/>
  <c r="AS114" i="24" s="1"/>
  <c r="AT114" i="24" s="1"/>
  <c r="AU114" i="24" s="1"/>
  <c r="AV114" i="24" s="1"/>
  <c r="AW114" i="24" s="1"/>
  <c r="AX114" i="24" s="1"/>
  <c r="AY114" i="24" s="1"/>
  <c r="AZ114" i="24" s="1"/>
  <c r="BA114" i="24" s="1"/>
  <c r="BB114" i="24" s="1"/>
  <c r="BC114" i="24" s="1"/>
  <c r="BD114" i="24" s="1"/>
  <c r="BE114" i="24" s="1"/>
  <c r="BF114" i="24" s="1"/>
  <c r="BG114" i="24" s="1"/>
  <c r="BH114" i="24" s="1"/>
  <c r="BI114" i="24" s="1"/>
  <c r="Q134" i="23"/>
  <c r="R134" i="23" s="1"/>
  <c r="S134" i="23" s="1"/>
  <c r="T134" i="23" s="1"/>
  <c r="U134" i="23" s="1"/>
  <c r="V134" i="23" s="1"/>
  <c r="W134" i="23" s="1"/>
  <c r="X134" i="23" s="1"/>
  <c r="Y134" i="23" s="1"/>
  <c r="Z134" i="23" s="1"/>
  <c r="AA134" i="23" s="1"/>
  <c r="AB134" i="23" s="1"/>
  <c r="AC134" i="23" s="1"/>
  <c r="AD134" i="23" s="1"/>
  <c r="AE134" i="23" s="1"/>
  <c r="AF134" i="23" s="1"/>
  <c r="AG134" i="23" s="1"/>
  <c r="AH134" i="23" s="1"/>
  <c r="AI134" i="23" s="1"/>
  <c r="AJ134" i="23" s="1"/>
  <c r="AK134" i="23" s="1"/>
  <c r="AL134" i="23" s="1"/>
  <c r="AM134" i="23" s="1"/>
  <c r="AN134" i="23" s="1"/>
  <c r="AO134" i="23" s="1"/>
  <c r="AP134" i="23" s="1"/>
  <c r="AQ134" i="23" s="1"/>
  <c r="AR134" i="23" s="1"/>
  <c r="AS134" i="23" s="1"/>
  <c r="AT134" i="23" s="1"/>
  <c r="AU134" i="23" s="1"/>
  <c r="AV134" i="23" s="1"/>
  <c r="AW134" i="23" s="1"/>
  <c r="AX134" i="23" s="1"/>
  <c r="AY134" i="23" s="1"/>
  <c r="AZ134" i="23" s="1"/>
  <c r="BA134" i="23" s="1"/>
  <c r="BB134" i="23" s="1"/>
  <c r="BC134" i="23" s="1"/>
  <c r="BD134" i="23" s="1"/>
  <c r="BE134" i="23" s="1"/>
  <c r="BF134" i="23" s="1"/>
  <c r="BG134" i="23" s="1"/>
  <c r="BH134" i="23" s="1"/>
  <c r="BI134" i="23" s="1"/>
  <c r="Q122" i="23"/>
  <c r="R122" i="23" s="1"/>
  <c r="S122" i="23" s="1"/>
  <c r="T122" i="23" s="1"/>
  <c r="U122" i="23" s="1"/>
  <c r="V122" i="23" s="1"/>
  <c r="W122" i="23" s="1"/>
  <c r="X122" i="23" s="1"/>
  <c r="Y122" i="23" s="1"/>
  <c r="Z122" i="23" s="1"/>
  <c r="AA122" i="23" s="1"/>
  <c r="AB122" i="23" s="1"/>
  <c r="AC122" i="23" s="1"/>
  <c r="AD122" i="23" s="1"/>
  <c r="AE122" i="23" s="1"/>
  <c r="AF122" i="23" s="1"/>
  <c r="AG122" i="23" s="1"/>
  <c r="AH122" i="23" s="1"/>
  <c r="AI122" i="23" s="1"/>
  <c r="AJ122" i="23" s="1"/>
  <c r="AK122" i="23" s="1"/>
  <c r="AL122" i="23" s="1"/>
  <c r="AM122" i="23" s="1"/>
  <c r="AN122" i="23" s="1"/>
  <c r="AO122" i="23" s="1"/>
  <c r="AP122" i="23" s="1"/>
  <c r="AQ122" i="23" s="1"/>
  <c r="AR122" i="23" s="1"/>
  <c r="AS122" i="23" s="1"/>
  <c r="AT122" i="23" s="1"/>
  <c r="AU122" i="23" s="1"/>
  <c r="AV122" i="23" s="1"/>
  <c r="AW122" i="23" s="1"/>
  <c r="AX122" i="23" s="1"/>
  <c r="AY122" i="23" s="1"/>
  <c r="AZ122" i="23" s="1"/>
  <c r="BA122" i="23" s="1"/>
  <c r="BB122" i="23" s="1"/>
  <c r="BC122" i="23" s="1"/>
  <c r="BD122" i="23" s="1"/>
  <c r="BE122" i="23" s="1"/>
  <c r="BF122" i="23" s="1"/>
  <c r="BG122" i="23" s="1"/>
  <c r="BH122" i="23" s="1"/>
  <c r="BI122" i="23" s="1"/>
  <c r="Q106" i="23"/>
  <c r="R106" i="23" s="1"/>
  <c r="S106" i="23" s="1"/>
  <c r="T106" i="23" s="1"/>
  <c r="U106" i="23" s="1"/>
  <c r="V106" i="23" s="1"/>
  <c r="W106" i="23" s="1"/>
  <c r="X106" i="23" s="1"/>
  <c r="Y106" i="23" s="1"/>
  <c r="Z106" i="23" s="1"/>
  <c r="AA106" i="23" s="1"/>
  <c r="AB106" i="23" s="1"/>
  <c r="AC106" i="23" s="1"/>
  <c r="AD106" i="23" s="1"/>
  <c r="AE106" i="23" s="1"/>
  <c r="AF106" i="23" s="1"/>
  <c r="AG106" i="23" s="1"/>
  <c r="AH106" i="23" s="1"/>
  <c r="AI106" i="23" s="1"/>
  <c r="AJ106" i="23" s="1"/>
  <c r="AK106" i="23" s="1"/>
  <c r="AL106" i="23" s="1"/>
  <c r="AM106" i="23" s="1"/>
  <c r="AN106" i="23" s="1"/>
  <c r="AO106" i="23" s="1"/>
  <c r="AP106" i="23" s="1"/>
  <c r="AQ106" i="23" s="1"/>
  <c r="AR106" i="23" s="1"/>
  <c r="AS106" i="23" s="1"/>
  <c r="AT106" i="23" s="1"/>
  <c r="AU106" i="23" s="1"/>
  <c r="AV106" i="23" s="1"/>
  <c r="AW106" i="23" s="1"/>
  <c r="AX106" i="23" s="1"/>
  <c r="AY106" i="23" s="1"/>
  <c r="AZ106" i="23" s="1"/>
  <c r="BA106" i="23" s="1"/>
  <c r="BB106" i="23" s="1"/>
  <c r="BC106" i="23" s="1"/>
  <c r="BD106" i="23" s="1"/>
  <c r="BE106" i="23" s="1"/>
  <c r="BF106" i="23" s="1"/>
  <c r="BG106" i="23" s="1"/>
  <c r="BH106" i="23" s="1"/>
  <c r="BI106" i="23" s="1"/>
  <c r="Q101" i="23"/>
  <c r="R101" i="23" s="1"/>
  <c r="S101" i="23" s="1"/>
  <c r="T101" i="23" s="1"/>
  <c r="U101" i="23" s="1"/>
  <c r="V101" i="23" s="1"/>
  <c r="W101" i="23" s="1"/>
  <c r="X101" i="23" s="1"/>
  <c r="Y101" i="23" s="1"/>
  <c r="Z101" i="23" s="1"/>
  <c r="AA101" i="23" s="1"/>
  <c r="AB101" i="23" s="1"/>
  <c r="AC101" i="23" s="1"/>
  <c r="AD101" i="23" s="1"/>
  <c r="AE101" i="23" s="1"/>
  <c r="AF101" i="23" s="1"/>
  <c r="AG101" i="23" s="1"/>
  <c r="AH101" i="23" s="1"/>
  <c r="AI101" i="23" s="1"/>
  <c r="AJ101" i="23" s="1"/>
  <c r="AK101" i="23" s="1"/>
  <c r="AL101" i="23" s="1"/>
  <c r="AM101" i="23" s="1"/>
  <c r="AN101" i="23" s="1"/>
  <c r="AO101" i="23" s="1"/>
  <c r="AP101" i="23" s="1"/>
  <c r="AQ101" i="23" s="1"/>
  <c r="AR101" i="23" s="1"/>
  <c r="AS101" i="23" s="1"/>
  <c r="AT101" i="23" s="1"/>
  <c r="AU101" i="23" s="1"/>
  <c r="AV101" i="23" s="1"/>
  <c r="AW101" i="23" s="1"/>
  <c r="AX101" i="23" s="1"/>
  <c r="AY101" i="23" s="1"/>
  <c r="AZ101" i="23" s="1"/>
  <c r="BA101" i="23" s="1"/>
  <c r="BB101" i="23" s="1"/>
  <c r="BC101" i="23" s="1"/>
  <c r="BD101" i="23" s="1"/>
  <c r="BE101" i="23" s="1"/>
  <c r="BF101" i="23" s="1"/>
  <c r="BG101" i="23" s="1"/>
  <c r="BH101" i="23" s="1"/>
  <c r="BI101" i="23" s="1"/>
  <c r="Q52" i="16"/>
  <c r="R52" i="16" s="1"/>
  <c r="S52" i="16" s="1"/>
  <c r="T52" i="16" s="1"/>
  <c r="U52" i="16" s="1"/>
  <c r="V52" i="16" s="1"/>
  <c r="W52" i="16" s="1"/>
  <c r="X52" i="16" s="1"/>
  <c r="Y52" i="16" s="1"/>
  <c r="Z52" i="16" s="1"/>
  <c r="AA52" i="16" s="1"/>
  <c r="AB52" i="16" s="1"/>
  <c r="AC52" i="16" s="1"/>
  <c r="AD52" i="16" s="1"/>
  <c r="AE52" i="16" s="1"/>
  <c r="AF52" i="16" s="1"/>
  <c r="AG52" i="16" s="1"/>
  <c r="AH52" i="16" s="1"/>
  <c r="AI52" i="16" s="1"/>
  <c r="AJ52" i="16" s="1"/>
  <c r="AK52" i="16" s="1"/>
  <c r="AL52" i="16" s="1"/>
  <c r="AM52" i="16" s="1"/>
  <c r="AN52" i="16" s="1"/>
  <c r="AO52" i="16" s="1"/>
  <c r="AP52" i="16" s="1"/>
  <c r="AQ52" i="16" s="1"/>
  <c r="AR52" i="16" s="1"/>
  <c r="AS52" i="16" s="1"/>
  <c r="AT52" i="16" s="1"/>
  <c r="AU52" i="16" s="1"/>
  <c r="AV52" i="16" s="1"/>
  <c r="AW52" i="16" s="1"/>
  <c r="AX52" i="16" s="1"/>
  <c r="AY52" i="16" s="1"/>
  <c r="AZ52" i="16" s="1"/>
  <c r="BA52" i="16" s="1"/>
  <c r="BB52" i="16" s="1"/>
  <c r="BC52" i="16" s="1"/>
  <c r="BD52" i="16" s="1"/>
  <c r="BE52" i="16" s="1"/>
  <c r="BF52" i="16" s="1"/>
  <c r="BG52" i="16" s="1"/>
  <c r="BH52" i="16" s="1"/>
  <c r="BI52" i="16" s="1"/>
  <c r="R87" i="26"/>
  <c r="S87" i="26" s="1"/>
  <c r="T87" i="26" s="1"/>
  <c r="U87" i="26" s="1"/>
  <c r="V87" i="26" s="1"/>
  <c r="W87" i="26" s="1"/>
  <c r="X87" i="26" s="1"/>
  <c r="Y87" i="26" s="1"/>
  <c r="Z87" i="26" s="1"/>
  <c r="AA87" i="26" s="1"/>
  <c r="AB87" i="26" s="1"/>
  <c r="AC87" i="26" s="1"/>
  <c r="AD87" i="26" s="1"/>
  <c r="AE87" i="26" s="1"/>
  <c r="AF87" i="26" s="1"/>
  <c r="AG87" i="26" s="1"/>
  <c r="AH87" i="26" s="1"/>
  <c r="AI87" i="26" s="1"/>
  <c r="AJ87" i="26" s="1"/>
  <c r="AK87" i="26" s="1"/>
  <c r="AL87" i="26" s="1"/>
  <c r="AM87" i="26" s="1"/>
  <c r="AN87" i="26" s="1"/>
  <c r="AO87" i="26" s="1"/>
  <c r="AP87" i="26" s="1"/>
  <c r="AQ87" i="26" s="1"/>
  <c r="AR87" i="26" s="1"/>
  <c r="AS87" i="26" s="1"/>
  <c r="AT87" i="26" s="1"/>
  <c r="AU87" i="26" s="1"/>
  <c r="AV87" i="26" s="1"/>
  <c r="AW87" i="26" s="1"/>
  <c r="AX87" i="26" s="1"/>
  <c r="AY87" i="26" s="1"/>
  <c r="AZ87" i="26" s="1"/>
  <c r="BA87" i="26" s="1"/>
  <c r="BB87" i="26" s="1"/>
  <c r="BC87" i="26" s="1"/>
  <c r="BD87" i="26" s="1"/>
  <c r="BE87" i="26" s="1"/>
  <c r="BF87" i="26" s="1"/>
  <c r="BG87" i="26" s="1"/>
  <c r="BH87" i="26" s="1"/>
  <c r="BI87" i="26" s="1"/>
  <c r="Q87" i="26"/>
  <c r="Q148" i="19"/>
  <c r="R148" i="19" s="1"/>
  <c r="S148" i="19" s="1"/>
  <c r="T148" i="19" s="1"/>
  <c r="U148" i="19" s="1"/>
  <c r="V148" i="19" s="1"/>
  <c r="W148" i="19" s="1"/>
  <c r="X148" i="19" s="1"/>
  <c r="Y148" i="19" s="1"/>
  <c r="Z148" i="19" s="1"/>
  <c r="AA148" i="19" s="1"/>
  <c r="AB148" i="19" s="1"/>
  <c r="AC148" i="19" s="1"/>
  <c r="AD148" i="19" s="1"/>
  <c r="AE148" i="19" s="1"/>
  <c r="AF148" i="19" s="1"/>
  <c r="AG148" i="19" s="1"/>
  <c r="AH148" i="19" s="1"/>
  <c r="AI148" i="19" s="1"/>
  <c r="AJ148" i="19" s="1"/>
  <c r="AK148" i="19" s="1"/>
  <c r="AL148" i="19" s="1"/>
  <c r="AM148" i="19" s="1"/>
  <c r="AN148" i="19" s="1"/>
  <c r="AO148" i="19" s="1"/>
  <c r="AP148" i="19" s="1"/>
  <c r="AQ148" i="19" s="1"/>
  <c r="AR148" i="19" s="1"/>
  <c r="AS148" i="19" s="1"/>
  <c r="AT148" i="19" s="1"/>
  <c r="AU148" i="19" s="1"/>
  <c r="AV148" i="19" s="1"/>
  <c r="AW148" i="19" s="1"/>
  <c r="AX148" i="19" s="1"/>
  <c r="AY148" i="19" s="1"/>
  <c r="AZ148" i="19" s="1"/>
  <c r="BA148" i="19" s="1"/>
  <c r="BB148" i="19" s="1"/>
  <c r="BC148" i="19" s="1"/>
  <c r="BD148" i="19" s="1"/>
  <c r="BE148" i="19" s="1"/>
  <c r="BF148" i="19" s="1"/>
  <c r="BG148" i="19" s="1"/>
  <c r="BH148" i="19" s="1"/>
  <c r="BI148" i="19" s="1"/>
  <c r="Q134" i="19"/>
  <c r="R134" i="19" s="1"/>
  <c r="S134" i="19" s="1"/>
  <c r="T134" i="19" s="1"/>
  <c r="U134" i="19" s="1"/>
  <c r="V134" i="19" s="1"/>
  <c r="W134" i="19" s="1"/>
  <c r="X134" i="19" s="1"/>
  <c r="Y134" i="19" s="1"/>
  <c r="Z134" i="19" s="1"/>
  <c r="AA134" i="19" s="1"/>
  <c r="AB134" i="19" s="1"/>
  <c r="AC134" i="19" s="1"/>
  <c r="AD134" i="19" s="1"/>
  <c r="AE134" i="19" s="1"/>
  <c r="AF134" i="19" s="1"/>
  <c r="AG134" i="19" s="1"/>
  <c r="AH134" i="19" s="1"/>
  <c r="AI134" i="19" s="1"/>
  <c r="AJ134" i="19" s="1"/>
  <c r="AK134" i="19" s="1"/>
  <c r="AL134" i="19" s="1"/>
  <c r="AM134" i="19" s="1"/>
  <c r="AN134" i="19" s="1"/>
  <c r="AO134" i="19" s="1"/>
  <c r="AP134" i="19" s="1"/>
  <c r="AQ134" i="19" s="1"/>
  <c r="AR134" i="19" s="1"/>
  <c r="AS134" i="19" s="1"/>
  <c r="AT134" i="19" s="1"/>
  <c r="AU134" i="19" s="1"/>
  <c r="AV134" i="19" s="1"/>
  <c r="AW134" i="19" s="1"/>
  <c r="AX134" i="19" s="1"/>
  <c r="AY134" i="19" s="1"/>
  <c r="AZ134" i="19" s="1"/>
  <c r="BA134" i="19" s="1"/>
  <c r="BB134" i="19" s="1"/>
  <c r="BC134" i="19" s="1"/>
  <c r="BD134" i="19" s="1"/>
  <c r="BE134" i="19" s="1"/>
  <c r="BF134" i="19" s="1"/>
  <c r="BG134" i="19" s="1"/>
  <c r="BH134" i="19" s="1"/>
  <c r="BI134" i="19" s="1"/>
  <c r="Q178" i="13"/>
  <c r="R178" i="13" s="1"/>
  <c r="S178" i="13" s="1"/>
  <c r="T178" i="13" s="1"/>
  <c r="U178" i="13" s="1"/>
  <c r="V178" i="13" s="1"/>
  <c r="W178" i="13" s="1"/>
  <c r="X178" i="13" s="1"/>
  <c r="Y178" i="13" s="1"/>
  <c r="Z178" i="13" s="1"/>
  <c r="AA178" i="13" s="1"/>
  <c r="AB178" i="13" s="1"/>
  <c r="AC178" i="13" s="1"/>
  <c r="AD178" i="13" s="1"/>
  <c r="AE178" i="13" s="1"/>
  <c r="AF178" i="13" s="1"/>
  <c r="AG178" i="13" s="1"/>
  <c r="AH178" i="13" s="1"/>
  <c r="AI178" i="13" s="1"/>
  <c r="AJ178" i="13" s="1"/>
  <c r="AK178" i="13" s="1"/>
  <c r="AL178" i="13" s="1"/>
  <c r="AM178" i="13" s="1"/>
  <c r="AN178" i="13" s="1"/>
  <c r="AO178" i="13" s="1"/>
  <c r="AP178" i="13" s="1"/>
  <c r="AQ178" i="13" s="1"/>
  <c r="AR178" i="13" s="1"/>
  <c r="AS178" i="13" s="1"/>
  <c r="AT178" i="13" s="1"/>
  <c r="AU178" i="13" s="1"/>
  <c r="AV178" i="13" s="1"/>
  <c r="AW178" i="13" s="1"/>
  <c r="AX178" i="13" s="1"/>
  <c r="AY178" i="13" s="1"/>
  <c r="AZ178" i="13" s="1"/>
  <c r="BA178" i="13" s="1"/>
  <c r="BB178" i="13" s="1"/>
  <c r="BC178" i="13" s="1"/>
  <c r="BD178" i="13" s="1"/>
  <c r="BE178" i="13" s="1"/>
  <c r="BF178" i="13" s="1"/>
  <c r="BG178" i="13" s="1"/>
  <c r="BH178" i="13" s="1"/>
  <c r="BI178" i="13" s="1"/>
  <c r="Q172" i="13"/>
  <c r="R172" i="13" s="1"/>
  <c r="S172" i="13" s="1"/>
  <c r="T172" i="13" s="1"/>
  <c r="U172" i="13" s="1"/>
  <c r="V172" i="13" s="1"/>
  <c r="W172" i="13" s="1"/>
  <c r="X172" i="13" s="1"/>
  <c r="Y172" i="13" s="1"/>
  <c r="Z172" i="13" s="1"/>
  <c r="AA172" i="13" s="1"/>
  <c r="AB172" i="13" s="1"/>
  <c r="AC172" i="13" s="1"/>
  <c r="AD172" i="13" s="1"/>
  <c r="AE172" i="13" s="1"/>
  <c r="AF172" i="13" s="1"/>
  <c r="AG172" i="13" s="1"/>
  <c r="AH172" i="13" s="1"/>
  <c r="AI172" i="13" s="1"/>
  <c r="AJ172" i="13" s="1"/>
  <c r="AK172" i="13" s="1"/>
  <c r="AL172" i="13" s="1"/>
  <c r="AM172" i="13" s="1"/>
  <c r="AN172" i="13" s="1"/>
  <c r="AO172" i="13" s="1"/>
  <c r="AP172" i="13" s="1"/>
  <c r="AQ172" i="13" s="1"/>
  <c r="AR172" i="13" s="1"/>
  <c r="AS172" i="13" s="1"/>
  <c r="AT172" i="13" s="1"/>
  <c r="AU172" i="13" s="1"/>
  <c r="AV172" i="13" s="1"/>
  <c r="AW172" i="13" s="1"/>
  <c r="AX172" i="13" s="1"/>
  <c r="AY172" i="13" s="1"/>
  <c r="AZ172" i="13" s="1"/>
  <c r="BA172" i="13" s="1"/>
  <c r="BB172" i="13" s="1"/>
  <c r="BC172" i="13" s="1"/>
  <c r="BD172" i="13" s="1"/>
  <c r="BE172" i="13" s="1"/>
  <c r="BF172" i="13" s="1"/>
  <c r="BG172" i="13" s="1"/>
  <c r="BH172" i="13" s="1"/>
  <c r="BI172" i="13" s="1"/>
  <c r="Q121" i="13"/>
  <c r="R121" i="13" s="1"/>
  <c r="S121" i="13" s="1"/>
  <c r="T121" i="13" s="1"/>
  <c r="U121" i="13" s="1"/>
  <c r="V121" i="13" s="1"/>
  <c r="W121" i="13" s="1"/>
  <c r="X121" i="13" s="1"/>
  <c r="Y121" i="13" s="1"/>
  <c r="Z121" i="13" s="1"/>
  <c r="AA121" i="13" s="1"/>
  <c r="AB121" i="13" s="1"/>
  <c r="AC121" i="13" s="1"/>
  <c r="AD121" i="13" s="1"/>
  <c r="AE121" i="13" s="1"/>
  <c r="AF121" i="13" s="1"/>
  <c r="AG121" i="13" s="1"/>
  <c r="AH121" i="13" s="1"/>
  <c r="AI121" i="13" s="1"/>
  <c r="AJ121" i="13" s="1"/>
  <c r="AK121" i="13" s="1"/>
  <c r="AL121" i="13" s="1"/>
  <c r="AM121" i="13" s="1"/>
  <c r="AN121" i="13" s="1"/>
  <c r="AO121" i="13" s="1"/>
  <c r="AP121" i="13" s="1"/>
  <c r="AQ121" i="13" s="1"/>
  <c r="AR121" i="13" s="1"/>
  <c r="AS121" i="13" s="1"/>
  <c r="AT121" i="13" s="1"/>
  <c r="AU121" i="13" s="1"/>
  <c r="AV121" i="13" s="1"/>
  <c r="AW121" i="13" s="1"/>
  <c r="AX121" i="13" s="1"/>
  <c r="AY121" i="13" s="1"/>
  <c r="AZ121" i="13" s="1"/>
  <c r="BA121" i="13" s="1"/>
  <c r="BB121" i="13" s="1"/>
  <c r="BC121" i="13" s="1"/>
  <c r="BD121" i="13" s="1"/>
  <c r="BE121" i="13" s="1"/>
  <c r="BF121" i="13" s="1"/>
  <c r="BG121" i="13" s="1"/>
  <c r="BH121" i="13" s="1"/>
  <c r="BI121" i="13" s="1"/>
  <c r="Q115" i="13"/>
  <c r="R115" i="13" s="1"/>
  <c r="S115" i="13" s="1"/>
  <c r="T115" i="13" s="1"/>
  <c r="U115" i="13" s="1"/>
  <c r="V115" i="13" s="1"/>
  <c r="W115" i="13" s="1"/>
  <c r="X115" i="13" s="1"/>
  <c r="Y115" i="13" s="1"/>
  <c r="Z115" i="13" s="1"/>
  <c r="AA115" i="13" s="1"/>
  <c r="AB115" i="13" s="1"/>
  <c r="AC115" i="13" s="1"/>
  <c r="AD115" i="13" s="1"/>
  <c r="AE115" i="13" s="1"/>
  <c r="AF115" i="13" s="1"/>
  <c r="AG115" i="13" s="1"/>
  <c r="AH115" i="13" s="1"/>
  <c r="AI115" i="13" s="1"/>
  <c r="AJ115" i="13" s="1"/>
  <c r="AK115" i="13" s="1"/>
  <c r="AL115" i="13" s="1"/>
  <c r="AM115" i="13" s="1"/>
  <c r="AN115" i="13" s="1"/>
  <c r="AO115" i="13" s="1"/>
  <c r="AP115" i="13" s="1"/>
  <c r="AQ115" i="13" s="1"/>
  <c r="AR115" i="13" s="1"/>
  <c r="AS115" i="13" s="1"/>
  <c r="AT115" i="13" s="1"/>
  <c r="AU115" i="13" s="1"/>
  <c r="AV115" i="13" s="1"/>
  <c r="AW115" i="13" s="1"/>
  <c r="AX115" i="13" s="1"/>
  <c r="AY115" i="13" s="1"/>
  <c r="AZ115" i="13" s="1"/>
  <c r="BA115" i="13" s="1"/>
  <c r="BB115" i="13" s="1"/>
  <c r="BC115" i="13" s="1"/>
  <c r="BD115" i="13" s="1"/>
  <c r="BE115" i="13" s="1"/>
  <c r="BF115" i="13" s="1"/>
  <c r="BG115" i="13" s="1"/>
  <c r="BH115" i="13" s="1"/>
  <c r="BI115" i="13" s="1"/>
  <c r="Q109" i="13"/>
  <c r="R109" i="13" s="1"/>
  <c r="S109" i="13" s="1"/>
  <c r="T109" i="13" s="1"/>
  <c r="U109" i="13" s="1"/>
  <c r="V109" i="13" s="1"/>
  <c r="W109" i="13" s="1"/>
  <c r="X109" i="13" s="1"/>
  <c r="Y109" i="13" s="1"/>
  <c r="Z109" i="13" s="1"/>
  <c r="AA109" i="13" s="1"/>
  <c r="AB109" i="13" s="1"/>
  <c r="AC109" i="13" s="1"/>
  <c r="AD109" i="13" s="1"/>
  <c r="AE109" i="13" s="1"/>
  <c r="AF109" i="13" s="1"/>
  <c r="AG109" i="13" s="1"/>
  <c r="AH109" i="13" s="1"/>
  <c r="AI109" i="13" s="1"/>
  <c r="AJ109" i="13" s="1"/>
  <c r="AK109" i="13" s="1"/>
  <c r="AL109" i="13" s="1"/>
  <c r="AM109" i="13" s="1"/>
  <c r="AN109" i="13" s="1"/>
  <c r="AO109" i="13" s="1"/>
  <c r="AP109" i="13" s="1"/>
  <c r="AQ109" i="13" s="1"/>
  <c r="AR109" i="13" s="1"/>
  <c r="AS109" i="13" s="1"/>
  <c r="AT109" i="13" s="1"/>
  <c r="AU109" i="13" s="1"/>
  <c r="AV109" i="13" s="1"/>
  <c r="AW109" i="13" s="1"/>
  <c r="AX109" i="13" s="1"/>
  <c r="AY109" i="13" s="1"/>
  <c r="AZ109" i="13" s="1"/>
  <c r="BA109" i="13" s="1"/>
  <c r="BB109" i="13" s="1"/>
  <c r="BC109" i="13" s="1"/>
  <c r="BD109" i="13" s="1"/>
  <c r="BE109" i="13" s="1"/>
  <c r="BF109" i="13" s="1"/>
  <c r="BG109" i="13" s="1"/>
  <c r="BH109" i="13" s="1"/>
  <c r="BI109" i="13" s="1"/>
  <c r="Q103" i="13"/>
  <c r="R103" i="13" s="1"/>
  <c r="S103" i="13" s="1"/>
  <c r="T103" i="13" s="1"/>
  <c r="U103" i="13" s="1"/>
  <c r="V103" i="13" s="1"/>
  <c r="W103" i="13" s="1"/>
  <c r="X103" i="13" s="1"/>
  <c r="Y103" i="13" s="1"/>
  <c r="Z103" i="13" s="1"/>
  <c r="AA103" i="13" s="1"/>
  <c r="AB103" i="13" s="1"/>
  <c r="AC103" i="13" s="1"/>
  <c r="AD103" i="13" s="1"/>
  <c r="AE103" i="13" s="1"/>
  <c r="AF103" i="13" s="1"/>
  <c r="AG103" i="13" s="1"/>
  <c r="AH103" i="13" s="1"/>
  <c r="AI103" i="13" s="1"/>
  <c r="AJ103" i="13" s="1"/>
  <c r="AK103" i="13" s="1"/>
  <c r="AL103" i="13" s="1"/>
  <c r="AM103" i="13" s="1"/>
  <c r="AN103" i="13" s="1"/>
  <c r="AO103" i="13" s="1"/>
  <c r="AP103" i="13" s="1"/>
  <c r="AQ103" i="13" s="1"/>
  <c r="AR103" i="13" s="1"/>
  <c r="AS103" i="13" s="1"/>
  <c r="AT103" i="13" s="1"/>
  <c r="AU103" i="13" s="1"/>
  <c r="AV103" i="13" s="1"/>
  <c r="AW103" i="13" s="1"/>
  <c r="AX103" i="13" s="1"/>
  <c r="AY103" i="13" s="1"/>
  <c r="AZ103" i="13" s="1"/>
  <c r="BA103" i="13" s="1"/>
  <c r="BB103" i="13" s="1"/>
  <c r="BC103" i="13" s="1"/>
  <c r="BD103" i="13" s="1"/>
  <c r="BE103" i="13" s="1"/>
  <c r="BF103" i="13" s="1"/>
  <c r="BG103" i="13" s="1"/>
  <c r="BH103" i="13" s="1"/>
  <c r="BI103" i="13" s="1"/>
  <c r="Q6" i="13"/>
  <c r="R6" i="13" s="1"/>
  <c r="S6" i="13" s="1"/>
  <c r="T6" i="13" s="1"/>
  <c r="U6" i="13" s="1"/>
  <c r="V6" i="13" s="1"/>
  <c r="W6" i="13" s="1"/>
  <c r="X6" i="13" s="1"/>
  <c r="Y6" i="13" s="1"/>
  <c r="Z6" i="13" s="1"/>
  <c r="AA6" i="13" s="1"/>
  <c r="AB6" i="13" s="1"/>
  <c r="AC6" i="13" s="1"/>
  <c r="AD6" i="13" s="1"/>
  <c r="AE6" i="13" s="1"/>
  <c r="AF6" i="13" s="1"/>
  <c r="AG6" i="13" s="1"/>
  <c r="AH6" i="13" s="1"/>
  <c r="AI6" i="13" s="1"/>
  <c r="AJ6" i="13" s="1"/>
  <c r="AK6" i="13" s="1"/>
  <c r="AL6" i="13" s="1"/>
  <c r="AM6" i="13" s="1"/>
  <c r="AN6" i="13" s="1"/>
  <c r="AO6" i="13" s="1"/>
  <c r="AP6" i="13" s="1"/>
  <c r="AQ6" i="13" s="1"/>
  <c r="AR6" i="13" s="1"/>
  <c r="AS6" i="13" s="1"/>
  <c r="AT6" i="13" s="1"/>
  <c r="AU6" i="13" s="1"/>
  <c r="AV6" i="13" s="1"/>
  <c r="AW6" i="13" s="1"/>
  <c r="AX6" i="13" s="1"/>
  <c r="AY6" i="13" s="1"/>
  <c r="AZ6" i="13" s="1"/>
  <c r="BA6" i="13" s="1"/>
  <c r="BB6" i="13" s="1"/>
  <c r="BC6" i="13" s="1"/>
  <c r="BD6" i="13" s="1"/>
  <c r="BE6" i="13" s="1"/>
  <c r="BF6" i="13" s="1"/>
  <c r="BG6" i="13" s="1"/>
  <c r="BH6" i="13" s="1"/>
  <c r="BI6" i="13" s="1"/>
  <c r="Q249" i="17"/>
  <c r="R249" i="17" s="1"/>
  <c r="S249" i="17" s="1"/>
  <c r="T249" i="17" s="1"/>
  <c r="U249" i="17" s="1"/>
  <c r="V249" i="17" s="1"/>
  <c r="W249" i="17" s="1"/>
  <c r="X249" i="17" s="1"/>
  <c r="Y249" i="17" s="1"/>
  <c r="Z249" i="17" s="1"/>
  <c r="AA249" i="17" s="1"/>
  <c r="AB249" i="17" s="1"/>
  <c r="AC249" i="17" s="1"/>
  <c r="AD249" i="17" s="1"/>
  <c r="AE249" i="17" s="1"/>
  <c r="AF249" i="17" s="1"/>
  <c r="AG249" i="17" s="1"/>
  <c r="AH249" i="17" s="1"/>
  <c r="AI249" i="17" s="1"/>
  <c r="AJ249" i="17" s="1"/>
  <c r="AK249" i="17" s="1"/>
  <c r="AL249" i="17" s="1"/>
  <c r="AM249" i="17" s="1"/>
  <c r="AN249" i="17" s="1"/>
  <c r="AO249" i="17" s="1"/>
  <c r="AP249" i="17" s="1"/>
  <c r="AQ249" i="17" s="1"/>
  <c r="AR249" i="17" s="1"/>
  <c r="AS249" i="17" s="1"/>
  <c r="AT249" i="17" s="1"/>
  <c r="AU249" i="17" s="1"/>
  <c r="AV249" i="17" s="1"/>
  <c r="AW249" i="17" s="1"/>
  <c r="AX249" i="17" s="1"/>
  <c r="AY249" i="17" s="1"/>
  <c r="AZ249" i="17" s="1"/>
  <c r="BA249" i="17" s="1"/>
  <c r="BB249" i="17" s="1"/>
  <c r="BC249" i="17" s="1"/>
  <c r="BD249" i="17" s="1"/>
  <c r="BE249" i="17" s="1"/>
  <c r="BF249" i="17" s="1"/>
  <c r="BG249" i="17" s="1"/>
  <c r="BH249" i="17" s="1"/>
  <c r="BI249" i="17" s="1"/>
  <c r="Q236" i="17"/>
  <c r="R236" i="17" s="1"/>
  <c r="S236" i="17" s="1"/>
  <c r="T236" i="17" s="1"/>
  <c r="U236" i="17" s="1"/>
  <c r="V236" i="17" s="1"/>
  <c r="W236" i="17" s="1"/>
  <c r="X236" i="17" s="1"/>
  <c r="Y236" i="17" s="1"/>
  <c r="Z236" i="17" s="1"/>
  <c r="AA236" i="17" s="1"/>
  <c r="AB236" i="17" s="1"/>
  <c r="AC236" i="17" s="1"/>
  <c r="AD236" i="17" s="1"/>
  <c r="AE236" i="17" s="1"/>
  <c r="AF236" i="17" s="1"/>
  <c r="AG236" i="17" s="1"/>
  <c r="AH236" i="17" s="1"/>
  <c r="AI236" i="17" s="1"/>
  <c r="AJ236" i="17" s="1"/>
  <c r="AK236" i="17" s="1"/>
  <c r="AL236" i="17" s="1"/>
  <c r="AM236" i="17" s="1"/>
  <c r="AN236" i="17" s="1"/>
  <c r="AO236" i="17" s="1"/>
  <c r="AP236" i="17" s="1"/>
  <c r="AQ236" i="17" s="1"/>
  <c r="AR236" i="17" s="1"/>
  <c r="AS236" i="17" s="1"/>
  <c r="AT236" i="17" s="1"/>
  <c r="AU236" i="17" s="1"/>
  <c r="AV236" i="17" s="1"/>
  <c r="AW236" i="17" s="1"/>
  <c r="AX236" i="17" s="1"/>
  <c r="AY236" i="17" s="1"/>
  <c r="AZ236" i="17" s="1"/>
  <c r="BA236" i="17" s="1"/>
  <c r="BB236" i="17" s="1"/>
  <c r="BC236" i="17" s="1"/>
  <c r="BD236" i="17" s="1"/>
  <c r="BE236" i="17" s="1"/>
  <c r="BF236" i="17" s="1"/>
  <c r="BG236" i="17" s="1"/>
  <c r="BH236" i="17" s="1"/>
  <c r="BI236" i="17" s="1"/>
  <c r="Q115" i="17"/>
  <c r="R115" i="17" s="1"/>
  <c r="S115" i="17" s="1"/>
  <c r="T115" i="17" s="1"/>
  <c r="U115" i="17" s="1"/>
  <c r="V115" i="17" s="1"/>
  <c r="W115" i="17" s="1"/>
  <c r="X115" i="17" s="1"/>
  <c r="Y115" i="17" s="1"/>
  <c r="Z115" i="17" s="1"/>
  <c r="AA115" i="17" s="1"/>
  <c r="AB115" i="17" s="1"/>
  <c r="AC115" i="17" s="1"/>
  <c r="AD115" i="17" s="1"/>
  <c r="AE115" i="17" s="1"/>
  <c r="AF115" i="17" s="1"/>
  <c r="AG115" i="17" s="1"/>
  <c r="AH115" i="17" s="1"/>
  <c r="AI115" i="17" s="1"/>
  <c r="AJ115" i="17" s="1"/>
  <c r="AK115" i="17" s="1"/>
  <c r="AL115" i="17" s="1"/>
  <c r="AM115" i="17" s="1"/>
  <c r="AN115" i="17" s="1"/>
  <c r="AO115" i="17" s="1"/>
  <c r="AP115" i="17" s="1"/>
  <c r="AQ115" i="17" s="1"/>
  <c r="AR115" i="17" s="1"/>
  <c r="AS115" i="17" s="1"/>
  <c r="AT115" i="17" s="1"/>
  <c r="AU115" i="17" s="1"/>
  <c r="AV115" i="17" s="1"/>
  <c r="AW115" i="17" s="1"/>
  <c r="AX115" i="17" s="1"/>
  <c r="AY115" i="17" s="1"/>
  <c r="AZ115" i="17" s="1"/>
  <c r="BA115" i="17" s="1"/>
  <c r="BB115" i="17" s="1"/>
  <c r="BC115" i="17" s="1"/>
  <c r="BD115" i="17" s="1"/>
  <c r="BE115" i="17" s="1"/>
  <c r="BF115" i="17" s="1"/>
  <c r="BG115" i="17" s="1"/>
  <c r="BH115" i="17" s="1"/>
  <c r="BI115" i="17" s="1"/>
  <c r="Q98" i="17"/>
  <c r="R98" i="17" s="1"/>
  <c r="S98" i="17" s="1"/>
  <c r="T98" i="17" s="1"/>
  <c r="U98" i="17" s="1"/>
  <c r="V98" i="17" s="1"/>
  <c r="W98" i="17" s="1"/>
  <c r="X98" i="17" s="1"/>
  <c r="Y98" i="17" s="1"/>
  <c r="Z98" i="17" s="1"/>
  <c r="AA98" i="17" s="1"/>
  <c r="AB98" i="17" s="1"/>
  <c r="AC98" i="17" s="1"/>
  <c r="AD98" i="17" s="1"/>
  <c r="AE98" i="17" s="1"/>
  <c r="AF98" i="17" s="1"/>
  <c r="AG98" i="17" s="1"/>
  <c r="AH98" i="17" s="1"/>
  <c r="AI98" i="17" s="1"/>
  <c r="AJ98" i="17" s="1"/>
  <c r="AK98" i="17" s="1"/>
  <c r="AL98" i="17" s="1"/>
  <c r="AM98" i="17" s="1"/>
  <c r="AN98" i="17" s="1"/>
  <c r="AO98" i="17" s="1"/>
  <c r="AP98" i="17" s="1"/>
  <c r="AQ98" i="17" s="1"/>
  <c r="AR98" i="17" s="1"/>
  <c r="AS98" i="17" s="1"/>
  <c r="AT98" i="17" s="1"/>
  <c r="AU98" i="17" s="1"/>
  <c r="AV98" i="17" s="1"/>
  <c r="AW98" i="17" s="1"/>
  <c r="AX98" i="17" s="1"/>
  <c r="AY98" i="17" s="1"/>
  <c r="AZ98" i="17" s="1"/>
  <c r="BA98" i="17" s="1"/>
  <c r="BB98" i="17" s="1"/>
  <c r="BC98" i="17" s="1"/>
  <c r="BD98" i="17" s="1"/>
  <c r="BE98" i="17" s="1"/>
  <c r="BF98" i="17" s="1"/>
  <c r="BG98" i="17" s="1"/>
  <c r="BH98" i="17" s="1"/>
  <c r="BI98" i="17" s="1"/>
  <c r="R97" i="17"/>
  <c r="S97" i="17" s="1"/>
  <c r="T97" i="17" s="1"/>
  <c r="Q43" i="32"/>
  <c r="R43" i="32" s="1"/>
  <c r="S43" i="32" s="1"/>
  <c r="T43" i="32" s="1"/>
  <c r="U43" i="32" s="1"/>
  <c r="V43" i="32" s="1"/>
  <c r="W43" i="32" s="1"/>
  <c r="X43" i="32" s="1"/>
  <c r="Y43" i="32" s="1"/>
  <c r="Z43" i="32" s="1"/>
  <c r="AA43" i="32" s="1"/>
  <c r="AB43" i="32" s="1"/>
  <c r="AC43" i="32" s="1"/>
  <c r="AD43" i="32" s="1"/>
  <c r="AE43" i="32" s="1"/>
  <c r="AF43" i="32" s="1"/>
  <c r="AG43" i="32" s="1"/>
  <c r="AH43" i="32" s="1"/>
  <c r="AI43" i="32" s="1"/>
  <c r="AJ43" i="32" s="1"/>
  <c r="AK43" i="32" s="1"/>
  <c r="AL43" i="32" s="1"/>
  <c r="AM43" i="32" s="1"/>
  <c r="AN43" i="32" s="1"/>
  <c r="AO43" i="32" s="1"/>
  <c r="AP43" i="32" s="1"/>
  <c r="AQ43" i="32" s="1"/>
  <c r="AR43" i="32" s="1"/>
  <c r="AS43" i="32" s="1"/>
  <c r="AT43" i="32" s="1"/>
  <c r="AU43" i="32" s="1"/>
  <c r="AV43" i="32" s="1"/>
  <c r="AW43" i="32" s="1"/>
  <c r="AX43" i="32" s="1"/>
  <c r="AY43" i="32" s="1"/>
  <c r="AZ43" i="32" s="1"/>
  <c r="BA43" i="32" s="1"/>
  <c r="BB43" i="32" s="1"/>
  <c r="BC43" i="32" s="1"/>
  <c r="BD43" i="32" s="1"/>
  <c r="BE43" i="32" s="1"/>
  <c r="BF43" i="32" s="1"/>
  <c r="BG43" i="32" s="1"/>
  <c r="BH43" i="32" s="1"/>
  <c r="BI43" i="32" s="1"/>
  <c r="Q298" i="14"/>
  <c r="R298" i="14" s="1"/>
  <c r="S298" i="14" s="1"/>
  <c r="T298" i="14" s="1"/>
  <c r="U298" i="14" s="1"/>
  <c r="V298" i="14" s="1"/>
  <c r="W298" i="14" s="1"/>
  <c r="X298" i="14" s="1"/>
  <c r="Y298" i="14" s="1"/>
  <c r="Z298" i="14" s="1"/>
  <c r="AA298" i="14" s="1"/>
  <c r="AB298" i="14" s="1"/>
  <c r="AC298" i="14" s="1"/>
  <c r="AD298" i="14" s="1"/>
  <c r="AE298" i="14" s="1"/>
  <c r="AF298" i="14" s="1"/>
  <c r="AG298" i="14" s="1"/>
  <c r="AH298" i="14" s="1"/>
  <c r="AI298" i="14" s="1"/>
  <c r="AJ298" i="14" s="1"/>
  <c r="AK298" i="14" s="1"/>
  <c r="AL298" i="14" s="1"/>
  <c r="AM298" i="14" s="1"/>
  <c r="AN298" i="14" s="1"/>
  <c r="AO298" i="14" s="1"/>
  <c r="AP298" i="14" s="1"/>
  <c r="AQ298" i="14" s="1"/>
  <c r="AR298" i="14" s="1"/>
  <c r="AS298" i="14" s="1"/>
  <c r="AT298" i="14" s="1"/>
  <c r="AU298" i="14" s="1"/>
  <c r="AV298" i="14" s="1"/>
  <c r="AW298" i="14" s="1"/>
  <c r="AX298" i="14" s="1"/>
  <c r="AY298" i="14" s="1"/>
  <c r="AZ298" i="14" s="1"/>
  <c r="BA298" i="14" s="1"/>
  <c r="BB298" i="14" s="1"/>
  <c r="BC298" i="14" s="1"/>
  <c r="BD298" i="14" s="1"/>
  <c r="BE298" i="14" s="1"/>
  <c r="BF298" i="14" s="1"/>
  <c r="BG298" i="14" s="1"/>
  <c r="BH298" i="14" s="1"/>
  <c r="BI298" i="14" s="1"/>
  <c r="Q285" i="14"/>
  <c r="R285" i="14" s="1"/>
  <c r="S285" i="14" s="1"/>
  <c r="T285" i="14" s="1"/>
  <c r="U285" i="14" s="1"/>
  <c r="V285" i="14" s="1"/>
  <c r="W285" i="14" s="1"/>
  <c r="X285" i="14" s="1"/>
  <c r="Y285" i="14" s="1"/>
  <c r="Z285" i="14" s="1"/>
  <c r="AA285" i="14" s="1"/>
  <c r="AB285" i="14" s="1"/>
  <c r="AC285" i="14" s="1"/>
  <c r="AD285" i="14" s="1"/>
  <c r="AE285" i="14" s="1"/>
  <c r="AF285" i="14" s="1"/>
  <c r="AG285" i="14" s="1"/>
  <c r="AH285" i="14" s="1"/>
  <c r="AI285" i="14" s="1"/>
  <c r="AJ285" i="14" s="1"/>
  <c r="AK285" i="14" s="1"/>
  <c r="AL285" i="14" s="1"/>
  <c r="AM285" i="14" s="1"/>
  <c r="AN285" i="14" s="1"/>
  <c r="AO285" i="14" s="1"/>
  <c r="AP285" i="14" s="1"/>
  <c r="AQ285" i="14" s="1"/>
  <c r="AR285" i="14" s="1"/>
  <c r="AS285" i="14" s="1"/>
  <c r="AT285" i="14" s="1"/>
  <c r="AU285" i="14" s="1"/>
  <c r="AV285" i="14" s="1"/>
  <c r="AW285" i="14" s="1"/>
  <c r="AX285" i="14" s="1"/>
  <c r="AY285" i="14" s="1"/>
  <c r="AZ285" i="14" s="1"/>
  <c r="BA285" i="14" s="1"/>
  <c r="BB285" i="14" s="1"/>
  <c r="BC285" i="14" s="1"/>
  <c r="BD285" i="14" s="1"/>
  <c r="BE285" i="14" s="1"/>
  <c r="BF285" i="14" s="1"/>
  <c r="BG285" i="14" s="1"/>
  <c r="BH285" i="14" s="1"/>
  <c r="BI285" i="14" s="1"/>
  <c r="Q227" i="14"/>
  <c r="R227" i="14" s="1"/>
  <c r="S227" i="14" s="1"/>
  <c r="T227" i="14" s="1"/>
  <c r="U227" i="14" s="1"/>
  <c r="V227" i="14" s="1"/>
  <c r="W227" i="14" s="1"/>
  <c r="X227" i="14" s="1"/>
  <c r="Y227" i="14" s="1"/>
  <c r="Z227" i="14" s="1"/>
  <c r="AA227" i="14" s="1"/>
  <c r="AB227" i="14" s="1"/>
  <c r="AC227" i="14" s="1"/>
  <c r="AD227" i="14" s="1"/>
  <c r="AE227" i="14" s="1"/>
  <c r="AF227" i="14" s="1"/>
  <c r="AG227" i="14" s="1"/>
  <c r="AH227" i="14" s="1"/>
  <c r="AI227" i="14" s="1"/>
  <c r="AJ227" i="14" s="1"/>
  <c r="AK227" i="14" s="1"/>
  <c r="AL227" i="14" s="1"/>
  <c r="AM227" i="14" s="1"/>
  <c r="AN227" i="14" s="1"/>
  <c r="AO227" i="14" s="1"/>
  <c r="AP227" i="14" s="1"/>
  <c r="AQ227" i="14" s="1"/>
  <c r="AR227" i="14" s="1"/>
  <c r="AS227" i="14" s="1"/>
  <c r="AT227" i="14" s="1"/>
  <c r="AU227" i="14" s="1"/>
  <c r="AV227" i="14" s="1"/>
  <c r="AW227" i="14" s="1"/>
  <c r="AX227" i="14" s="1"/>
  <c r="AY227" i="14" s="1"/>
  <c r="AZ227" i="14" s="1"/>
  <c r="BA227" i="14" s="1"/>
  <c r="BB227" i="14" s="1"/>
  <c r="BC227" i="14" s="1"/>
  <c r="BD227" i="14" s="1"/>
  <c r="BE227" i="14" s="1"/>
  <c r="BF227" i="14" s="1"/>
  <c r="BG227" i="14" s="1"/>
  <c r="BH227" i="14" s="1"/>
  <c r="BI227" i="14" s="1"/>
  <c r="Q66" i="31"/>
  <c r="R66" i="31" s="1"/>
  <c r="S66" i="31" s="1"/>
  <c r="T66" i="31" s="1"/>
  <c r="U66" i="31" s="1"/>
  <c r="V66" i="31" s="1"/>
  <c r="W66" i="31" s="1"/>
  <c r="X66" i="31" s="1"/>
  <c r="Y66" i="31" s="1"/>
  <c r="Z66" i="31" s="1"/>
  <c r="AA66" i="31" s="1"/>
  <c r="AB66" i="31" s="1"/>
  <c r="AC66" i="31" s="1"/>
  <c r="AD66" i="31" s="1"/>
  <c r="AE66" i="31" s="1"/>
  <c r="AF66" i="31" s="1"/>
  <c r="AG66" i="31" s="1"/>
  <c r="AH66" i="31" s="1"/>
  <c r="AI66" i="31" s="1"/>
  <c r="AJ66" i="31" s="1"/>
  <c r="AK66" i="31" s="1"/>
  <c r="AL66" i="31" s="1"/>
  <c r="AM66" i="31" s="1"/>
  <c r="AN66" i="31" s="1"/>
  <c r="AO66" i="31" s="1"/>
  <c r="AP66" i="31" s="1"/>
  <c r="AQ66" i="31" s="1"/>
  <c r="AR66" i="31" s="1"/>
  <c r="AS66" i="31" s="1"/>
  <c r="AT66" i="31" s="1"/>
  <c r="AU66" i="31" s="1"/>
  <c r="AV66" i="31" s="1"/>
  <c r="AW66" i="31" s="1"/>
  <c r="AX66" i="31" s="1"/>
  <c r="AY66" i="31" s="1"/>
  <c r="AZ66" i="31" s="1"/>
  <c r="BA66" i="31" s="1"/>
  <c r="BB66" i="31" s="1"/>
  <c r="BC66" i="31" s="1"/>
  <c r="BD66" i="31" s="1"/>
  <c r="BE66" i="31" s="1"/>
  <c r="BF66" i="31" s="1"/>
  <c r="BG66" i="31" s="1"/>
  <c r="BH66" i="31" s="1"/>
  <c r="BI66" i="31" s="1"/>
  <c r="Q54" i="31"/>
  <c r="R54" i="31" s="1"/>
  <c r="S54" i="31" s="1"/>
  <c r="T54" i="31" s="1"/>
  <c r="U54" i="31" s="1"/>
  <c r="V54" i="31" s="1"/>
  <c r="W54" i="31" s="1"/>
  <c r="X54" i="31" s="1"/>
  <c r="Y54" i="31" s="1"/>
  <c r="Z54" i="31" s="1"/>
  <c r="AA54" i="31" s="1"/>
  <c r="AB54" i="31" s="1"/>
  <c r="AC54" i="31" s="1"/>
  <c r="AD54" i="31" s="1"/>
  <c r="AE54" i="31" s="1"/>
  <c r="AF54" i="31" s="1"/>
  <c r="AG54" i="31" s="1"/>
  <c r="AH54" i="31" s="1"/>
  <c r="AI54" i="31" s="1"/>
  <c r="AJ54" i="31" s="1"/>
  <c r="AK54" i="31" s="1"/>
  <c r="AL54" i="31" s="1"/>
  <c r="AM54" i="31" s="1"/>
  <c r="AN54" i="31" s="1"/>
  <c r="AO54" i="31" s="1"/>
  <c r="AP54" i="31" s="1"/>
  <c r="AQ54" i="31" s="1"/>
  <c r="AR54" i="31" s="1"/>
  <c r="AS54" i="31" s="1"/>
  <c r="AT54" i="31" s="1"/>
  <c r="AU54" i="31" s="1"/>
  <c r="AV54" i="31" s="1"/>
  <c r="AW54" i="31" s="1"/>
  <c r="AX54" i="31" s="1"/>
  <c r="AY54" i="31" s="1"/>
  <c r="AZ54" i="31" s="1"/>
  <c r="BA54" i="31" s="1"/>
  <c r="BB54" i="31" s="1"/>
  <c r="BC54" i="31" s="1"/>
  <c r="BD54" i="31" s="1"/>
  <c r="BE54" i="31" s="1"/>
  <c r="BF54" i="31" s="1"/>
  <c r="BG54" i="31" s="1"/>
  <c r="BH54" i="31" s="1"/>
  <c r="BI54" i="31" s="1"/>
  <c r="S20" i="30" l="1"/>
  <c r="T20" i="30" s="1"/>
  <c r="U20" i="30" s="1"/>
  <c r="V20" i="30" s="1"/>
  <c r="W20" i="30" s="1"/>
  <c r="X20" i="30" s="1"/>
  <c r="Y20" i="30" s="1"/>
  <c r="Z20" i="30" s="1"/>
  <c r="AA20" i="30" s="1"/>
  <c r="AB20" i="30" s="1"/>
  <c r="AC20" i="30" s="1"/>
  <c r="AD20" i="30" s="1"/>
  <c r="AE20" i="30" s="1"/>
  <c r="AF20" i="30" s="1"/>
  <c r="AG20" i="30" s="1"/>
  <c r="AH20" i="30" s="1"/>
  <c r="AI20" i="30" s="1"/>
  <c r="AJ20" i="30" s="1"/>
  <c r="AK20" i="30" s="1"/>
  <c r="AL20" i="30" s="1"/>
  <c r="AM20" i="30" s="1"/>
  <c r="AN20" i="30" s="1"/>
  <c r="AO20" i="30" s="1"/>
  <c r="AP20" i="30" s="1"/>
  <c r="AQ20" i="30" s="1"/>
  <c r="AR20" i="30" s="1"/>
  <c r="AS20" i="30" s="1"/>
  <c r="AT20" i="30" s="1"/>
  <c r="AU20" i="30" s="1"/>
  <c r="AV20" i="30" s="1"/>
  <c r="AW20" i="30" s="1"/>
  <c r="AX20" i="30" s="1"/>
  <c r="AY20" i="30" s="1"/>
  <c r="AZ20" i="30" s="1"/>
  <c r="BA20" i="30" s="1"/>
  <c r="BB20" i="30" s="1"/>
  <c r="BC20" i="30" s="1"/>
  <c r="BD20" i="30" s="1"/>
  <c r="BE20" i="30" s="1"/>
  <c r="BF20" i="30" s="1"/>
  <c r="BG20" i="30" s="1"/>
  <c r="BH20" i="30" s="1"/>
  <c r="BI20" i="30" s="1"/>
  <c r="R20" i="30"/>
  <c r="Q20" i="30"/>
  <c r="T96" i="13" l="1"/>
  <c r="U96" i="13" s="1"/>
  <c r="V96" i="13" s="1"/>
  <c r="D89" i="28"/>
  <c r="E89" i="28" s="1"/>
  <c r="F89" i="28" s="1"/>
  <c r="G89" i="28" s="1"/>
  <c r="H89" i="28" s="1"/>
  <c r="I89" i="28" s="1"/>
  <c r="J89" i="28" s="1"/>
  <c r="K89" i="28" s="1"/>
  <c r="L89" i="28" s="1"/>
  <c r="M89" i="28" s="1"/>
  <c r="N89" i="28" s="1"/>
  <c r="O89" i="28" s="1"/>
  <c r="P89" i="28" s="1"/>
  <c r="Q89" i="28" s="1"/>
  <c r="Q83" i="28"/>
  <c r="U133" i="23"/>
  <c r="V133" i="23" s="1"/>
  <c r="W133" i="23" s="1"/>
  <c r="X133" i="23" s="1"/>
  <c r="Y133" i="23" s="1"/>
  <c r="Z133" i="23" s="1"/>
  <c r="AA133" i="23" s="1"/>
  <c r="AB133" i="23" s="1"/>
  <c r="AC133" i="23" s="1"/>
  <c r="AD133" i="23" s="1"/>
  <c r="AE133" i="23" s="1"/>
  <c r="AF133" i="23" s="1"/>
  <c r="AG133" i="23" s="1"/>
  <c r="AH133" i="23" s="1"/>
  <c r="AI133" i="23" s="1"/>
  <c r="AJ133" i="23" s="1"/>
  <c r="AK133" i="23" s="1"/>
  <c r="AL133" i="23" s="1"/>
  <c r="AM133" i="23" s="1"/>
  <c r="AN133" i="23" s="1"/>
  <c r="AO133" i="23" s="1"/>
  <c r="AP133" i="23" s="1"/>
  <c r="AQ133" i="23" s="1"/>
  <c r="AR133" i="23" s="1"/>
  <c r="AS133" i="23" s="1"/>
  <c r="AT133" i="23" s="1"/>
  <c r="AU133" i="23" s="1"/>
  <c r="AV133" i="23" s="1"/>
  <c r="AW133" i="23" s="1"/>
  <c r="AX133" i="23" s="1"/>
  <c r="AY133" i="23" s="1"/>
  <c r="AZ133" i="23" s="1"/>
  <c r="BA133" i="23" s="1"/>
  <c r="BB133" i="23" s="1"/>
  <c r="BC133" i="23" s="1"/>
  <c r="BD133" i="23" s="1"/>
  <c r="BE133" i="23" s="1"/>
  <c r="BF133" i="23" s="1"/>
  <c r="BG133" i="23" s="1"/>
  <c r="BH133" i="23" s="1"/>
  <c r="BI133" i="23" s="1"/>
  <c r="W147" i="19"/>
  <c r="X147" i="19" s="1"/>
  <c r="Y147" i="19" s="1"/>
  <c r="Z147" i="19" s="1"/>
  <c r="AA147" i="19" s="1"/>
  <c r="AB147" i="19" s="1"/>
  <c r="AC147" i="19" s="1"/>
  <c r="AD147" i="19" s="1"/>
  <c r="AE147" i="19" s="1"/>
  <c r="AF147" i="19" s="1"/>
  <c r="AG147" i="19" s="1"/>
  <c r="AH147" i="19" s="1"/>
  <c r="AI147" i="19" s="1"/>
  <c r="AJ147" i="19" s="1"/>
  <c r="AK147" i="19" s="1"/>
  <c r="AL147" i="19" s="1"/>
  <c r="AM147" i="19" s="1"/>
  <c r="AN147" i="19" s="1"/>
  <c r="AO147" i="19" s="1"/>
  <c r="AP147" i="19" s="1"/>
  <c r="AQ147" i="19" s="1"/>
  <c r="AR147" i="19" s="1"/>
  <c r="AS147" i="19" s="1"/>
  <c r="AT147" i="19" s="1"/>
  <c r="AU147" i="19" s="1"/>
  <c r="AV147" i="19" s="1"/>
  <c r="AW147" i="19" s="1"/>
  <c r="AX147" i="19" s="1"/>
  <c r="AY147" i="19" s="1"/>
  <c r="AZ147" i="19" s="1"/>
  <c r="BA147" i="19" s="1"/>
  <c r="BB147" i="19" s="1"/>
  <c r="BC147" i="19" s="1"/>
  <c r="BD147" i="19" s="1"/>
  <c r="BE147" i="19" s="1"/>
  <c r="BF147" i="19" s="1"/>
  <c r="BG147" i="19" s="1"/>
  <c r="BH147" i="19" s="1"/>
  <c r="BI147" i="19" s="1"/>
  <c r="A251" i="17"/>
  <c r="A250" i="17"/>
  <c r="A116" i="17"/>
  <c r="U248" i="17"/>
  <c r="V248" i="17" s="1"/>
  <c r="W248" i="17" s="1"/>
  <c r="X248" i="17" s="1"/>
  <c r="Y248" i="17" s="1"/>
  <c r="Z248" i="17" s="1"/>
  <c r="AA248" i="17" s="1"/>
  <c r="AB248" i="17" s="1"/>
  <c r="AC248" i="17" s="1"/>
  <c r="AD248" i="17" s="1"/>
  <c r="AE248" i="17" s="1"/>
  <c r="AF248" i="17" s="1"/>
  <c r="AG248" i="17" s="1"/>
  <c r="AH248" i="17" s="1"/>
  <c r="AI248" i="17" s="1"/>
  <c r="AJ248" i="17" s="1"/>
  <c r="AK248" i="17" s="1"/>
  <c r="AL248" i="17" s="1"/>
  <c r="AM248" i="17" s="1"/>
  <c r="AN248" i="17" s="1"/>
  <c r="AO248" i="17" s="1"/>
  <c r="AP248" i="17" s="1"/>
  <c r="AQ248" i="17" s="1"/>
  <c r="AR248" i="17" s="1"/>
  <c r="AS248" i="17" s="1"/>
  <c r="AT248" i="17" s="1"/>
  <c r="AU248" i="17" s="1"/>
  <c r="AV248" i="17" s="1"/>
  <c r="AW248" i="17" s="1"/>
  <c r="AX248" i="17" s="1"/>
  <c r="AY248" i="17" s="1"/>
  <c r="AZ248" i="17" s="1"/>
  <c r="BA248" i="17" s="1"/>
  <c r="BB248" i="17" s="1"/>
  <c r="BC248" i="17" s="1"/>
  <c r="BD248" i="17" s="1"/>
  <c r="BE248" i="17" s="1"/>
  <c r="BF248" i="17" s="1"/>
  <c r="BG248" i="17" s="1"/>
  <c r="BH248" i="17" s="1"/>
  <c r="BI248" i="17" s="1"/>
  <c r="A228" i="14" l="1"/>
  <c r="U297" i="14"/>
  <c r="V297" i="14" s="1"/>
  <c r="W297" i="14" s="1"/>
  <c r="X297" i="14" s="1"/>
  <c r="Y297" i="14" s="1"/>
  <c r="Z297" i="14" s="1"/>
  <c r="AA297" i="14" s="1"/>
  <c r="AB297" i="14" s="1"/>
  <c r="AC297" i="14" s="1"/>
  <c r="AD297" i="14" s="1"/>
  <c r="AE297" i="14" s="1"/>
  <c r="AF297" i="14" s="1"/>
  <c r="AG297" i="14" s="1"/>
  <c r="AH297" i="14" s="1"/>
  <c r="AI297" i="14" s="1"/>
  <c r="AJ297" i="14" s="1"/>
  <c r="AK297" i="14" s="1"/>
  <c r="AL297" i="14" s="1"/>
  <c r="AM297" i="14" s="1"/>
  <c r="AN297" i="14" s="1"/>
  <c r="AO297" i="14" s="1"/>
  <c r="AP297" i="14" s="1"/>
  <c r="AQ297" i="14" s="1"/>
  <c r="AR297" i="14" s="1"/>
  <c r="AS297" i="14" s="1"/>
  <c r="AT297" i="14" s="1"/>
  <c r="AU297" i="14" s="1"/>
  <c r="AV297" i="14" s="1"/>
  <c r="AW297" i="14" s="1"/>
  <c r="AX297" i="14" s="1"/>
  <c r="AY297" i="14" s="1"/>
  <c r="AZ297" i="14" s="1"/>
  <c r="BA297" i="14" s="1"/>
  <c r="BB297" i="14" s="1"/>
  <c r="BC297" i="14" s="1"/>
  <c r="BD297" i="14" s="1"/>
  <c r="BE297" i="14" s="1"/>
  <c r="BF297" i="14" s="1"/>
  <c r="BG297" i="14" s="1"/>
  <c r="BH297" i="14" s="1"/>
  <c r="BI297" i="14" s="1"/>
  <c r="A28" i="19" l="1"/>
  <c r="A26" i="19"/>
  <c r="A25" i="19"/>
  <c r="V92" i="17" l="1"/>
  <c r="V35" i="32"/>
  <c r="V214" i="14"/>
  <c r="U65" i="8" l="1"/>
  <c r="V65" i="8"/>
  <c r="U58" i="8"/>
  <c r="V58" i="8"/>
  <c r="V19" i="8" l="1"/>
  <c r="V13" i="8" l="1"/>
  <c r="V16" i="8" s="1"/>
  <c r="V61" i="8" l="1"/>
  <c r="V56" i="8"/>
  <c r="U177" i="13"/>
  <c r="V177" i="13" s="1"/>
  <c r="W177" i="13" s="1"/>
  <c r="X177" i="13" s="1"/>
  <c r="Y177" i="13" s="1"/>
  <c r="Z177" i="13" s="1"/>
  <c r="AA177" i="13" s="1"/>
  <c r="AB177" i="13" s="1"/>
  <c r="AC177" i="13" s="1"/>
  <c r="AD177" i="13" s="1"/>
  <c r="AE177" i="13" s="1"/>
  <c r="AF177" i="13" s="1"/>
  <c r="AG177" i="13" s="1"/>
  <c r="AH177" i="13" s="1"/>
  <c r="AI177" i="13" s="1"/>
  <c r="AJ177" i="13" s="1"/>
  <c r="AK177" i="13" s="1"/>
  <c r="AL177" i="13" s="1"/>
  <c r="AM177" i="13" s="1"/>
  <c r="AN177" i="13" s="1"/>
  <c r="AO177" i="13" s="1"/>
  <c r="AP177" i="13" s="1"/>
  <c r="AQ177" i="13" s="1"/>
  <c r="AR177" i="13" s="1"/>
  <c r="AS177" i="13" s="1"/>
  <c r="AT177" i="13" s="1"/>
  <c r="AU177" i="13" s="1"/>
  <c r="AV177" i="13" s="1"/>
  <c r="AW177" i="13" s="1"/>
  <c r="AX177" i="13" s="1"/>
  <c r="AY177" i="13" s="1"/>
  <c r="AZ177" i="13" s="1"/>
  <c r="BA177" i="13" s="1"/>
  <c r="BB177" i="13" s="1"/>
  <c r="BC177" i="13" s="1"/>
  <c r="BD177" i="13" s="1"/>
  <c r="BE177" i="13" s="1"/>
  <c r="BF177" i="13" s="1"/>
  <c r="BG177" i="13" s="1"/>
  <c r="BH177" i="13" s="1"/>
  <c r="BI177" i="13" s="1"/>
  <c r="U171" i="13"/>
  <c r="V171" i="13" s="1"/>
  <c r="W171" i="13" s="1"/>
  <c r="X171" i="13" s="1"/>
  <c r="Y171" i="13" s="1"/>
  <c r="Z171" i="13" s="1"/>
  <c r="AA171" i="13" s="1"/>
  <c r="AB171" i="13" s="1"/>
  <c r="AC171" i="13" s="1"/>
  <c r="AD171" i="13" s="1"/>
  <c r="AE171" i="13" s="1"/>
  <c r="AF171" i="13" s="1"/>
  <c r="AG171" i="13" s="1"/>
  <c r="AH171" i="13" s="1"/>
  <c r="AI171" i="13" s="1"/>
  <c r="AJ171" i="13" s="1"/>
  <c r="AK171" i="13" s="1"/>
  <c r="AL171" i="13" s="1"/>
  <c r="AM171" i="13" s="1"/>
  <c r="AN171" i="13" s="1"/>
  <c r="AO171" i="13" s="1"/>
  <c r="AP171" i="13" s="1"/>
  <c r="AQ171" i="13" s="1"/>
  <c r="AR171" i="13" s="1"/>
  <c r="AS171" i="13" s="1"/>
  <c r="AT171" i="13" s="1"/>
  <c r="AU171" i="13" s="1"/>
  <c r="AV171" i="13" s="1"/>
  <c r="AW171" i="13" s="1"/>
  <c r="AX171" i="13" s="1"/>
  <c r="AY171" i="13" s="1"/>
  <c r="AZ171" i="13" s="1"/>
  <c r="BA171" i="13" s="1"/>
  <c r="BB171" i="13" s="1"/>
  <c r="BC171" i="13" s="1"/>
  <c r="BD171" i="13" s="1"/>
  <c r="BE171" i="13" s="1"/>
  <c r="BF171" i="13" s="1"/>
  <c r="BG171" i="13" s="1"/>
  <c r="BH171" i="13" s="1"/>
  <c r="BI171" i="13" s="1"/>
  <c r="S167" i="13"/>
  <c r="AZ167" i="13" s="1"/>
  <c r="S166" i="13"/>
  <c r="BG166" i="13" s="1"/>
  <c r="S165" i="13"/>
  <c r="BG165" i="13" s="1"/>
  <c r="S164" i="13"/>
  <c r="BG164" i="13" s="1"/>
  <c r="T163" i="13"/>
  <c r="U163" i="13" s="1"/>
  <c r="V163" i="13" s="1"/>
  <c r="W163" i="13" s="1"/>
  <c r="X163" i="13" s="1"/>
  <c r="Y163" i="13" s="1"/>
  <c r="Z163" i="13" s="1"/>
  <c r="AA163" i="13" s="1"/>
  <c r="AB163" i="13" s="1"/>
  <c r="AC163" i="13" s="1"/>
  <c r="AD163" i="13" s="1"/>
  <c r="AE163" i="13" s="1"/>
  <c r="AF163" i="13" s="1"/>
  <c r="AG163" i="13" s="1"/>
  <c r="AH163" i="13" s="1"/>
  <c r="AI163" i="13" s="1"/>
  <c r="AJ163" i="13" s="1"/>
  <c r="AK163" i="13" s="1"/>
  <c r="AL163" i="13" s="1"/>
  <c r="AM163" i="13" s="1"/>
  <c r="AN163" i="13" s="1"/>
  <c r="AO163" i="13" s="1"/>
  <c r="AP163" i="13" s="1"/>
  <c r="AQ163" i="13" s="1"/>
  <c r="AR163" i="13" s="1"/>
  <c r="AS163" i="13" s="1"/>
  <c r="AT163" i="13" s="1"/>
  <c r="AU163" i="13" s="1"/>
  <c r="AV163" i="13" s="1"/>
  <c r="AW163" i="13" s="1"/>
  <c r="AX163" i="13" s="1"/>
  <c r="AY163" i="13" s="1"/>
  <c r="AZ163" i="13" s="1"/>
  <c r="BA163" i="13" s="1"/>
  <c r="BB163" i="13" s="1"/>
  <c r="BC163" i="13" s="1"/>
  <c r="BD163" i="13" s="1"/>
  <c r="BE163" i="13" s="1"/>
  <c r="BF163" i="13" s="1"/>
  <c r="BG163" i="13" s="1"/>
  <c r="BH163" i="13" s="1"/>
  <c r="BI163" i="13" s="1"/>
  <c r="T157" i="13"/>
  <c r="U157" i="13" s="1"/>
  <c r="V157" i="13" s="1"/>
  <c r="W157" i="13" s="1"/>
  <c r="X157" i="13" s="1"/>
  <c r="Y157" i="13" s="1"/>
  <c r="Z157" i="13" s="1"/>
  <c r="AA157" i="13" s="1"/>
  <c r="AB157" i="13" s="1"/>
  <c r="AC157" i="13" s="1"/>
  <c r="AD157" i="13" s="1"/>
  <c r="AE157" i="13" s="1"/>
  <c r="AF157" i="13" s="1"/>
  <c r="AG157" i="13" s="1"/>
  <c r="AH157" i="13" s="1"/>
  <c r="AI157" i="13" s="1"/>
  <c r="AJ157" i="13" s="1"/>
  <c r="AK157" i="13" s="1"/>
  <c r="AL157" i="13" s="1"/>
  <c r="AM157" i="13" s="1"/>
  <c r="AN157" i="13" s="1"/>
  <c r="AO157" i="13" s="1"/>
  <c r="AP157" i="13" s="1"/>
  <c r="AQ157" i="13" s="1"/>
  <c r="AR157" i="13" s="1"/>
  <c r="AS157" i="13" s="1"/>
  <c r="AT157" i="13" s="1"/>
  <c r="AU157" i="13" s="1"/>
  <c r="AV157" i="13" s="1"/>
  <c r="AW157" i="13" s="1"/>
  <c r="AX157" i="13" s="1"/>
  <c r="AY157" i="13" s="1"/>
  <c r="AZ157" i="13" s="1"/>
  <c r="BA157" i="13" s="1"/>
  <c r="BB157" i="13" s="1"/>
  <c r="BC157" i="13" s="1"/>
  <c r="BD157" i="13" s="1"/>
  <c r="BE157" i="13" s="1"/>
  <c r="BF157" i="13" s="1"/>
  <c r="BG157" i="13" s="1"/>
  <c r="BH157" i="13" s="1"/>
  <c r="BI157" i="13" s="1"/>
  <c r="B144" i="13"/>
  <c r="B143" i="13"/>
  <c r="B142" i="13"/>
  <c r="B141" i="13" l="1"/>
  <c r="P161" i="13" s="1"/>
  <c r="X165" i="13"/>
  <c r="AN165" i="13"/>
  <c r="BD165" i="13"/>
  <c r="AC165" i="13"/>
  <c r="AS165" i="13"/>
  <c r="BI165" i="13"/>
  <c r="AF165" i="13"/>
  <c r="AV165" i="13"/>
  <c r="AK165" i="13"/>
  <c r="BA165" i="13"/>
  <c r="X164" i="13"/>
  <c r="AF164" i="13"/>
  <c r="AN164" i="13"/>
  <c r="AV164" i="13"/>
  <c r="BD164" i="13"/>
  <c r="X167" i="13"/>
  <c r="AN167" i="13"/>
  <c r="BD167" i="13"/>
  <c r="Y164" i="13"/>
  <c r="AG164" i="13"/>
  <c r="AO164" i="13"/>
  <c r="AW164" i="13"/>
  <c r="BE164" i="13"/>
  <c r="Y165" i="13"/>
  <c r="AG165" i="13"/>
  <c r="AO165" i="13"/>
  <c r="AW165" i="13"/>
  <c r="BE165" i="13"/>
  <c r="AB167" i="13"/>
  <c r="AR167" i="13"/>
  <c r="AB164" i="13"/>
  <c r="AJ164" i="13"/>
  <c r="AR164" i="13"/>
  <c r="AZ164" i="13"/>
  <c r="BH164" i="13"/>
  <c r="AB165" i="13"/>
  <c r="AJ165" i="13"/>
  <c r="AR165" i="13"/>
  <c r="AZ165" i="13"/>
  <c r="BH165" i="13"/>
  <c r="AF167" i="13"/>
  <c r="AV167" i="13"/>
  <c r="AC164" i="13"/>
  <c r="AK164" i="13"/>
  <c r="AS164" i="13"/>
  <c r="BA164" i="13"/>
  <c r="BI164" i="13"/>
  <c r="AJ167" i="13"/>
  <c r="T166" i="13"/>
  <c r="X166" i="13"/>
  <c r="AF166" i="13"/>
  <c r="AN166" i="13"/>
  <c r="AV166" i="13"/>
  <c r="BG167" i="13"/>
  <c r="BF167" i="13"/>
  <c r="BI167" i="13"/>
  <c r="U167" i="13"/>
  <c r="AC166" i="13"/>
  <c r="AK166" i="13"/>
  <c r="AS166" i="13"/>
  <c r="BA166" i="13"/>
  <c r="BI166" i="13"/>
  <c r="AC167" i="13"/>
  <c r="AK167" i="13"/>
  <c r="AS167" i="13"/>
  <c r="T164" i="13"/>
  <c r="U164" i="13"/>
  <c r="V164" i="13"/>
  <c r="Z164" i="13"/>
  <c r="AD164" i="13"/>
  <c r="AH164" i="13"/>
  <c r="AL164" i="13"/>
  <c r="AP164" i="13"/>
  <c r="AT164" i="13"/>
  <c r="AX164" i="13"/>
  <c r="BB164" i="13"/>
  <c r="BF164" i="13"/>
  <c r="V165" i="13"/>
  <c r="Z165" i="13"/>
  <c r="AD165" i="13"/>
  <c r="AH165" i="13"/>
  <c r="AL165" i="13"/>
  <c r="AP165" i="13"/>
  <c r="AT165" i="13"/>
  <c r="AX165" i="13"/>
  <c r="BB165" i="13"/>
  <c r="BF165" i="13"/>
  <c r="V166" i="13"/>
  <c r="Z166" i="13"/>
  <c r="AD166" i="13"/>
  <c r="AH166" i="13"/>
  <c r="AL166" i="13"/>
  <c r="AP166" i="13"/>
  <c r="AT166" i="13"/>
  <c r="AX166" i="13"/>
  <c r="BB166" i="13"/>
  <c r="BF166" i="13"/>
  <c r="V167" i="13"/>
  <c r="Z167" i="13"/>
  <c r="AD167" i="13"/>
  <c r="AH167" i="13"/>
  <c r="AL167" i="13"/>
  <c r="AP167" i="13"/>
  <c r="AT167" i="13"/>
  <c r="AX167" i="13"/>
  <c r="BB167" i="13"/>
  <c r="BH167" i="13"/>
  <c r="U166" i="13"/>
  <c r="AB166" i="13"/>
  <c r="AJ166" i="13"/>
  <c r="AR166" i="13"/>
  <c r="AZ166" i="13"/>
  <c r="BD166" i="13"/>
  <c r="BH166" i="13"/>
  <c r="T167" i="13"/>
  <c r="Y166" i="13"/>
  <c r="AG166" i="13"/>
  <c r="AO166" i="13"/>
  <c r="AW166" i="13"/>
  <c r="BE166" i="13"/>
  <c r="Y167" i="13"/>
  <c r="AG167" i="13"/>
  <c r="AO167" i="13"/>
  <c r="AW167" i="13"/>
  <c r="BA167" i="13"/>
  <c r="BE167" i="13"/>
  <c r="T165" i="13"/>
  <c r="U165" i="13"/>
  <c r="W164" i="13"/>
  <c r="AA164" i="13"/>
  <c r="AE164" i="13"/>
  <c r="AI164" i="13"/>
  <c r="AM164" i="13"/>
  <c r="AQ164" i="13"/>
  <c r="AU164" i="13"/>
  <c r="AY164" i="13"/>
  <c r="BC164" i="13"/>
  <c r="W165" i="13"/>
  <c r="AA165" i="13"/>
  <c r="AE165" i="13"/>
  <c r="AI165" i="13"/>
  <c r="AM165" i="13"/>
  <c r="AQ165" i="13"/>
  <c r="AU165" i="13"/>
  <c r="AY165" i="13"/>
  <c r="BC165" i="13"/>
  <c r="W166" i="13"/>
  <c r="AA166" i="13"/>
  <c r="AE166" i="13"/>
  <c r="AI166" i="13"/>
  <c r="AM166" i="13"/>
  <c r="AQ166" i="13"/>
  <c r="AU166" i="13"/>
  <c r="AY166" i="13"/>
  <c r="BC166" i="13"/>
  <c r="W167" i="13"/>
  <c r="AA167" i="13"/>
  <c r="AE167" i="13"/>
  <c r="AI167" i="13"/>
  <c r="AM167" i="13"/>
  <c r="AQ167" i="13"/>
  <c r="AU167" i="13"/>
  <c r="AY167" i="13"/>
  <c r="BC167" i="13"/>
  <c r="P158" i="13"/>
  <c r="P159" i="13"/>
  <c r="P160" i="13"/>
  <c r="U105" i="17" l="1"/>
  <c r="V105" i="17" s="1"/>
  <c r="W105" i="17" s="1"/>
  <c r="X105" i="17" s="1"/>
  <c r="Y105" i="17" s="1"/>
  <c r="Z105" i="17" s="1"/>
  <c r="AA105" i="17" s="1"/>
  <c r="AB105" i="17" s="1"/>
  <c r="AC105" i="17" s="1"/>
  <c r="AD105" i="17" s="1"/>
  <c r="AE105" i="17" s="1"/>
  <c r="AF105" i="17" s="1"/>
  <c r="AG105" i="17" s="1"/>
  <c r="AH105" i="17" s="1"/>
  <c r="AI105" i="17" s="1"/>
  <c r="AJ105" i="17" s="1"/>
  <c r="AK105" i="17" s="1"/>
  <c r="AL105" i="17" s="1"/>
  <c r="AM105" i="17" s="1"/>
  <c r="AN105" i="17" s="1"/>
  <c r="AO105" i="17" s="1"/>
  <c r="AP105" i="17" s="1"/>
  <c r="AQ105" i="17" s="1"/>
  <c r="AR105" i="17" s="1"/>
  <c r="AS105" i="17" s="1"/>
  <c r="AT105" i="17" s="1"/>
  <c r="AU105" i="17" s="1"/>
  <c r="AV105" i="17" s="1"/>
  <c r="AW105" i="17" s="1"/>
  <c r="AX105" i="17" s="1"/>
  <c r="AY105" i="17" s="1"/>
  <c r="AZ105" i="17" s="1"/>
  <c r="BA105" i="17" s="1"/>
  <c r="BB105" i="17" s="1"/>
  <c r="BC105" i="17" s="1"/>
  <c r="BD105" i="17" s="1"/>
  <c r="BE105" i="17" s="1"/>
  <c r="BF105" i="17" s="1"/>
  <c r="BG105" i="17" s="1"/>
  <c r="BH105" i="17" s="1"/>
  <c r="BI105" i="17" s="1"/>
  <c r="T206" i="17"/>
  <c r="U206" i="17" s="1"/>
  <c r="V206" i="17" s="1"/>
  <c r="W206" i="17" s="1"/>
  <c r="X206" i="17" s="1"/>
  <c r="Y206" i="17" s="1"/>
  <c r="Z206" i="17" s="1"/>
  <c r="AA206" i="17" s="1"/>
  <c r="AB206" i="17" s="1"/>
  <c r="AC206" i="17" s="1"/>
  <c r="AD206" i="17" s="1"/>
  <c r="AE206" i="17" s="1"/>
  <c r="AF206" i="17" s="1"/>
  <c r="AG206" i="17" s="1"/>
  <c r="AH206" i="17" s="1"/>
  <c r="AI206" i="17" s="1"/>
  <c r="AJ206" i="17" s="1"/>
  <c r="AK206" i="17" s="1"/>
  <c r="AL206" i="17" s="1"/>
  <c r="AM206" i="17" s="1"/>
  <c r="AN206" i="17" s="1"/>
  <c r="AO206" i="17" s="1"/>
  <c r="AP206" i="17" s="1"/>
  <c r="AQ206" i="17" s="1"/>
  <c r="AR206" i="17" s="1"/>
  <c r="AS206" i="17" s="1"/>
  <c r="AT206" i="17" s="1"/>
  <c r="AU206" i="17" s="1"/>
  <c r="AV206" i="17" s="1"/>
  <c r="AW206" i="17" s="1"/>
  <c r="AX206" i="17" s="1"/>
  <c r="AY206" i="17" s="1"/>
  <c r="AZ206" i="17" s="1"/>
  <c r="BA206" i="17" s="1"/>
  <c r="BB206" i="17" s="1"/>
  <c r="BC206" i="17" s="1"/>
  <c r="BD206" i="17" s="1"/>
  <c r="BE206" i="17" s="1"/>
  <c r="BF206" i="17" s="1"/>
  <c r="BG206" i="17" s="1"/>
  <c r="BH206" i="17" s="1"/>
  <c r="BI206" i="17" s="1"/>
  <c r="E90" i="34" l="1"/>
  <c r="H55" i="34"/>
  <c r="G55" i="34"/>
  <c r="F55" i="34"/>
  <c r="H19" i="34"/>
  <c r="H90" i="34" s="1"/>
  <c r="G19" i="34"/>
  <c r="G90" i="34" s="1"/>
  <c r="F19" i="34"/>
  <c r="F90" i="34" s="1"/>
  <c r="W96" i="13"/>
  <c r="X96" i="13" s="1"/>
  <c r="Y96" i="13" s="1"/>
  <c r="Z96" i="13" s="1"/>
  <c r="AA96" i="13" s="1"/>
  <c r="AB96" i="13" s="1"/>
  <c r="AC96" i="13" s="1"/>
  <c r="AD96" i="13" s="1"/>
  <c r="AE96" i="13" s="1"/>
  <c r="AF96" i="13" s="1"/>
  <c r="AG96" i="13" s="1"/>
  <c r="AH96" i="13" s="1"/>
  <c r="AI96" i="13" s="1"/>
  <c r="AJ96" i="13" s="1"/>
  <c r="AK96" i="13" s="1"/>
  <c r="AL96" i="13" s="1"/>
  <c r="AM96" i="13" s="1"/>
  <c r="AN96" i="13" s="1"/>
  <c r="AO96" i="13" s="1"/>
  <c r="AP96" i="13" s="1"/>
  <c r="AQ96" i="13" s="1"/>
  <c r="AR96" i="13" s="1"/>
  <c r="AS96" i="13" s="1"/>
  <c r="AT96" i="13" s="1"/>
  <c r="AU96" i="13" s="1"/>
  <c r="AV96" i="13" s="1"/>
  <c r="AW96" i="13" s="1"/>
  <c r="AX96" i="13" s="1"/>
  <c r="AY96" i="13" s="1"/>
  <c r="AZ96" i="13" s="1"/>
  <c r="BA96" i="13" s="1"/>
  <c r="BB96" i="13" s="1"/>
  <c r="BC96" i="13" s="1"/>
  <c r="BD96" i="13" s="1"/>
  <c r="BE96" i="13" s="1"/>
  <c r="BF96" i="13" s="1"/>
  <c r="BG96" i="13" s="1"/>
  <c r="BH96" i="13" s="1"/>
  <c r="BI96" i="13" s="1"/>
  <c r="T89" i="13"/>
  <c r="U89" i="13" s="1"/>
  <c r="V89" i="13" s="1"/>
  <c r="W89" i="13" s="1"/>
  <c r="X89" i="13" s="1"/>
  <c r="Y89" i="13" s="1"/>
  <c r="Z89" i="13" s="1"/>
  <c r="AA89" i="13" s="1"/>
  <c r="AB89" i="13" s="1"/>
  <c r="AC89" i="13" s="1"/>
  <c r="AD89" i="13" s="1"/>
  <c r="AE89" i="13" s="1"/>
  <c r="AF89" i="13" s="1"/>
  <c r="AG89" i="13" s="1"/>
  <c r="AH89" i="13" s="1"/>
  <c r="AI89" i="13" s="1"/>
  <c r="AJ89" i="13" s="1"/>
  <c r="AK89" i="13" s="1"/>
  <c r="AL89" i="13" s="1"/>
  <c r="AM89" i="13" s="1"/>
  <c r="AN89" i="13" s="1"/>
  <c r="AO89" i="13" s="1"/>
  <c r="AP89" i="13" s="1"/>
  <c r="AQ89" i="13" s="1"/>
  <c r="AR89" i="13" s="1"/>
  <c r="AS89" i="13" s="1"/>
  <c r="AT89" i="13" s="1"/>
  <c r="AU89" i="13" s="1"/>
  <c r="AV89" i="13" s="1"/>
  <c r="AW89" i="13" s="1"/>
  <c r="AX89" i="13" s="1"/>
  <c r="AY89" i="13" s="1"/>
  <c r="AZ89" i="13" s="1"/>
  <c r="BA89" i="13" s="1"/>
  <c r="BB89" i="13" s="1"/>
  <c r="BC89" i="13" s="1"/>
  <c r="BD89" i="13" s="1"/>
  <c r="BE89" i="13" s="1"/>
  <c r="BF89" i="13" s="1"/>
  <c r="BG89" i="13" s="1"/>
  <c r="BH89" i="13" s="1"/>
  <c r="BI89" i="13" s="1"/>
  <c r="T84" i="13"/>
  <c r="U84" i="13" s="1"/>
  <c r="V84" i="13" s="1"/>
  <c r="W84" i="13" s="1"/>
  <c r="X84" i="13" s="1"/>
  <c r="Y84" i="13" s="1"/>
  <c r="Z84" i="13" s="1"/>
  <c r="AA84" i="13" s="1"/>
  <c r="AB84" i="13" s="1"/>
  <c r="AC84" i="13" s="1"/>
  <c r="AD84" i="13" s="1"/>
  <c r="AE84" i="13" s="1"/>
  <c r="AF84" i="13" s="1"/>
  <c r="AG84" i="13" s="1"/>
  <c r="AH84" i="13" s="1"/>
  <c r="AI84" i="13" s="1"/>
  <c r="AJ84" i="13" s="1"/>
  <c r="AK84" i="13" s="1"/>
  <c r="AL84" i="13" s="1"/>
  <c r="AM84" i="13" s="1"/>
  <c r="AN84" i="13" s="1"/>
  <c r="AO84" i="13" s="1"/>
  <c r="AP84" i="13" s="1"/>
  <c r="AQ84" i="13" s="1"/>
  <c r="AR84" i="13" s="1"/>
  <c r="AS84" i="13" s="1"/>
  <c r="AT84" i="13" s="1"/>
  <c r="AU84" i="13" s="1"/>
  <c r="AV84" i="13" s="1"/>
  <c r="AW84" i="13" s="1"/>
  <c r="AX84" i="13" s="1"/>
  <c r="AY84" i="13" s="1"/>
  <c r="AZ84" i="13" s="1"/>
  <c r="BA84" i="13" s="1"/>
  <c r="BB84" i="13" s="1"/>
  <c r="BC84" i="13" s="1"/>
  <c r="BD84" i="13" s="1"/>
  <c r="BE84" i="13" s="1"/>
  <c r="BF84" i="13" s="1"/>
  <c r="BG84" i="13" s="1"/>
  <c r="BH84" i="13" s="1"/>
  <c r="BI84" i="13" s="1"/>
  <c r="T77" i="13"/>
  <c r="U77" i="13" s="1"/>
  <c r="V77" i="13" s="1"/>
  <c r="W77" i="13" s="1"/>
  <c r="X77" i="13" s="1"/>
  <c r="Y77" i="13" s="1"/>
  <c r="Z77" i="13" s="1"/>
  <c r="AA77" i="13" s="1"/>
  <c r="AB77" i="13" s="1"/>
  <c r="AC77" i="13" s="1"/>
  <c r="AD77" i="13" s="1"/>
  <c r="AE77" i="13" s="1"/>
  <c r="AF77" i="13" s="1"/>
  <c r="AG77" i="13" s="1"/>
  <c r="AH77" i="13" s="1"/>
  <c r="AI77" i="13" s="1"/>
  <c r="AJ77" i="13" s="1"/>
  <c r="AK77" i="13" s="1"/>
  <c r="AL77" i="13" s="1"/>
  <c r="AM77" i="13" s="1"/>
  <c r="AN77" i="13" s="1"/>
  <c r="AO77" i="13" s="1"/>
  <c r="AP77" i="13" s="1"/>
  <c r="AQ77" i="13" s="1"/>
  <c r="AR77" i="13" s="1"/>
  <c r="AS77" i="13" s="1"/>
  <c r="AT77" i="13" s="1"/>
  <c r="AU77" i="13" s="1"/>
  <c r="AV77" i="13" s="1"/>
  <c r="AW77" i="13" s="1"/>
  <c r="AX77" i="13" s="1"/>
  <c r="AY77" i="13" s="1"/>
  <c r="AZ77" i="13" s="1"/>
  <c r="BA77" i="13" s="1"/>
  <c r="BB77" i="13" s="1"/>
  <c r="BC77" i="13" s="1"/>
  <c r="BD77" i="13" s="1"/>
  <c r="BE77" i="13" s="1"/>
  <c r="BF77" i="13" s="1"/>
  <c r="BG77" i="13" s="1"/>
  <c r="BH77" i="13" s="1"/>
  <c r="BI77" i="13" s="1"/>
  <c r="T72" i="13"/>
  <c r="U72" i="13" s="1"/>
  <c r="V72" i="13" s="1"/>
  <c r="W72" i="13" s="1"/>
  <c r="X72" i="13" s="1"/>
  <c r="Y72" i="13" s="1"/>
  <c r="Z72" i="13" s="1"/>
  <c r="AA72" i="13" s="1"/>
  <c r="AB72" i="13" s="1"/>
  <c r="AC72" i="13" s="1"/>
  <c r="AD72" i="13" s="1"/>
  <c r="AE72" i="13" s="1"/>
  <c r="AF72" i="13" s="1"/>
  <c r="AG72" i="13" s="1"/>
  <c r="AH72" i="13" s="1"/>
  <c r="AI72" i="13" s="1"/>
  <c r="AJ72" i="13" s="1"/>
  <c r="AK72" i="13" s="1"/>
  <c r="AL72" i="13" s="1"/>
  <c r="AM72" i="13" s="1"/>
  <c r="AN72" i="13" s="1"/>
  <c r="AO72" i="13" s="1"/>
  <c r="AP72" i="13" s="1"/>
  <c r="AQ72" i="13" s="1"/>
  <c r="AR72" i="13" s="1"/>
  <c r="AS72" i="13" s="1"/>
  <c r="AT72" i="13" s="1"/>
  <c r="AU72" i="13" s="1"/>
  <c r="AV72" i="13" s="1"/>
  <c r="AW72" i="13" s="1"/>
  <c r="AX72" i="13" s="1"/>
  <c r="AY72" i="13" s="1"/>
  <c r="AZ72" i="13" s="1"/>
  <c r="BA72" i="13" s="1"/>
  <c r="BB72" i="13" s="1"/>
  <c r="BC72" i="13" s="1"/>
  <c r="BD72" i="13" s="1"/>
  <c r="BE72" i="13" s="1"/>
  <c r="BF72" i="13" s="1"/>
  <c r="BG72" i="13" s="1"/>
  <c r="BH72" i="13" s="1"/>
  <c r="BI72" i="13" s="1"/>
  <c r="T214" i="17"/>
  <c r="U214" i="17" s="1"/>
  <c r="V214" i="17" s="1"/>
  <c r="W214" i="17" s="1"/>
  <c r="X214" i="17" s="1"/>
  <c r="Y214" i="17" s="1"/>
  <c r="Z214" i="17" s="1"/>
  <c r="AA214" i="17" s="1"/>
  <c r="AB214" i="17" s="1"/>
  <c r="AC214" i="17" s="1"/>
  <c r="AD214" i="17" s="1"/>
  <c r="AE214" i="17" s="1"/>
  <c r="AF214" i="17" s="1"/>
  <c r="AG214" i="17" s="1"/>
  <c r="AH214" i="17" s="1"/>
  <c r="AI214" i="17" s="1"/>
  <c r="AJ214" i="17" s="1"/>
  <c r="AK214" i="17" s="1"/>
  <c r="AL214" i="17" s="1"/>
  <c r="AM214" i="17" s="1"/>
  <c r="AN214" i="17" s="1"/>
  <c r="AO214" i="17" s="1"/>
  <c r="AP214" i="17" s="1"/>
  <c r="AQ214" i="17" s="1"/>
  <c r="AR214" i="17" s="1"/>
  <c r="AS214" i="17" s="1"/>
  <c r="AT214" i="17" s="1"/>
  <c r="AU214" i="17" s="1"/>
  <c r="AV214" i="17" s="1"/>
  <c r="AW214" i="17" s="1"/>
  <c r="AX214" i="17" s="1"/>
  <c r="AY214" i="17" s="1"/>
  <c r="AZ214" i="17" s="1"/>
  <c r="BA214" i="17" s="1"/>
  <c r="BB214" i="17" s="1"/>
  <c r="BC214" i="17" s="1"/>
  <c r="BD214" i="17" s="1"/>
  <c r="BE214" i="17" s="1"/>
  <c r="BF214" i="17" s="1"/>
  <c r="BG214" i="17" s="1"/>
  <c r="BH214" i="17" s="1"/>
  <c r="BI214" i="17" s="1"/>
  <c r="T34" i="13"/>
  <c r="U34" i="13" s="1"/>
  <c r="V34" i="13" s="1"/>
  <c r="W34" i="13" s="1"/>
  <c r="X34" i="13" s="1"/>
  <c r="Y34" i="13" s="1"/>
  <c r="Z34" i="13" s="1"/>
  <c r="AA34" i="13" s="1"/>
  <c r="AB34" i="13" s="1"/>
  <c r="AC34" i="13" s="1"/>
  <c r="AD34" i="13" s="1"/>
  <c r="AE34" i="13" s="1"/>
  <c r="AF34" i="13" s="1"/>
  <c r="AG34" i="13" s="1"/>
  <c r="AH34" i="13" s="1"/>
  <c r="AI34" i="13" s="1"/>
  <c r="AJ34" i="13" s="1"/>
  <c r="AK34" i="13" s="1"/>
  <c r="AL34" i="13" s="1"/>
  <c r="AM34" i="13" s="1"/>
  <c r="AN34" i="13" s="1"/>
  <c r="AO34" i="13" s="1"/>
  <c r="AP34" i="13" s="1"/>
  <c r="AQ34" i="13" s="1"/>
  <c r="AR34" i="13" s="1"/>
  <c r="AS34" i="13" s="1"/>
  <c r="AT34" i="13" s="1"/>
  <c r="AU34" i="13" s="1"/>
  <c r="AV34" i="13" s="1"/>
  <c r="AW34" i="13" s="1"/>
  <c r="AX34" i="13" s="1"/>
  <c r="AY34" i="13" s="1"/>
  <c r="AZ34" i="13" s="1"/>
  <c r="BA34" i="13" s="1"/>
  <c r="BB34" i="13" s="1"/>
  <c r="BC34" i="13" s="1"/>
  <c r="BD34" i="13" s="1"/>
  <c r="BE34" i="13" s="1"/>
  <c r="BF34" i="13" s="1"/>
  <c r="BG34" i="13" s="1"/>
  <c r="BH34" i="13" s="1"/>
  <c r="BI34" i="13" s="1"/>
  <c r="S178" i="17" l="1"/>
  <c r="T177" i="17"/>
  <c r="U177" i="17" s="1"/>
  <c r="V177" i="17" s="1"/>
  <c r="W177" i="17" s="1"/>
  <c r="X177" i="17" s="1"/>
  <c r="Y177" i="17" s="1"/>
  <c r="Z177" i="17" s="1"/>
  <c r="AA177" i="17" s="1"/>
  <c r="AB177" i="17" s="1"/>
  <c r="AC177" i="17" s="1"/>
  <c r="AD177" i="17" s="1"/>
  <c r="AE177" i="17" s="1"/>
  <c r="AF177" i="17" s="1"/>
  <c r="AG177" i="17" s="1"/>
  <c r="AH177" i="17" s="1"/>
  <c r="AI177" i="17" s="1"/>
  <c r="AJ177" i="17" s="1"/>
  <c r="AK177" i="17" s="1"/>
  <c r="AL177" i="17" s="1"/>
  <c r="AM177" i="17" s="1"/>
  <c r="AN177" i="17" s="1"/>
  <c r="AO177" i="17" s="1"/>
  <c r="AP177" i="17" s="1"/>
  <c r="AQ177" i="17" s="1"/>
  <c r="AR177" i="17" s="1"/>
  <c r="AS177" i="17" s="1"/>
  <c r="AT177" i="17" s="1"/>
  <c r="AU177" i="17" s="1"/>
  <c r="AV177" i="17" s="1"/>
  <c r="AW177" i="17" s="1"/>
  <c r="AX177" i="17" s="1"/>
  <c r="AY177" i="17" s="1"/>
  <c r="AZ177" i="17" s="1"/>
  <c r="BA177" i="17" s="1"/>
  <c r="BB177" i="17" s="1"/>
  <c r="BC177" i="17" s="1"/>
  <c r="BD177" i="17" s="1"/>
  <c r="BE177" i="17" s="1"/>
  <c r="BF177" i="17" s="1"/>
  <c r="BG177" i="17" s="1"/>
  <c r="BH177" i="17" s="1"/>
  <c r="BI177" i="17" s="1"/>
  <c r="S180" i="17" l="1"/>
  <c r="S208" i="17" s="1"/>
  <c r="S35" i="13"/>
  <c r="S98" i="13" s="1"/>
  <c r="Q159" i="17"/>
  <c r="R152" i="17"/>
  <c r="T167" i="17"/>
  <c r="S167" i="17"/>
  <c r="R167" i="17"/>
  <c r="Q167" i="17"/>
  <c r="P167" i="17"/>
  <c r="Q152" i="17"/>
  <c r="P152" i="17"/>
  <c r="S158" i="13" l="1"/>
  <c r="S161" i="13"/>
  <c r="S159" i="13"/>
  <c r="S160" i="13"/>
  <c r="Q158" i="17"/>
  <c r="Q157" i="17" s="1"/>
  <c r="T172" i="17"/>
  <c r="Q172" i="17"/>
  <c r="P172" i="17"/>
  <c r="R172" i="17"/>
  <c r="R173" i="17" s="1"/>
  <c r="R174" i="17" s="1"/>
  <c r="AD178" i="17" s="1"/>
  <c r="AD35" i="13" s="1"/>
  <c r="AD98" i="13" s="1"/>
  <c r="S172" i="17"/>
  <c r="AD180" i="17" l="1"/>
  <c r="AD208" i="17" s="1"/>
  <c r="P173" i="17"/>
  <c r="P174" i="17" s="1"/>
  <c r="T178" i="17" s="1"/>
  <c r="T35" i="13" s="1"/>
  <c r="T98" i="13" s="1"/>
  <c r="Q173" i="17"/>
  <c r="Q174" i="17" s="1"/>
  <c r="Y178" i="17" s="1"/>
  <c r="Y35" i="13" s="1"/>
  <c r="Y98" i="13" s="1"/>
  <c r="S173" i="17"/>
  <c r="S174" i="17" s="1"/>
  <c r="AI178" i="17" s="1"/>
  <c r="AI35" i="13" s="1"/>
  <c r="AI98" i="13" s="1"/>
  <c r="T173" i="17"/>
  <c r="T174" i="17" s="1"/>
  <c r="AN178" i="17" s="1"/>
  <c r="AN35" i="13" s="1"/>
  <c r="AN98" i="13" s="1"/>
  <c r="T179" i="17" l="1"/>
  <c r="T207" i="17" s="1"/>
  <c r="AE178" i="17"/>
  <c r="AE35" i="13" s="1"/>
  <c r="AE98" i="13" s="1"/>
  <c r="AD161" i="13"/>
  <c r="AD158" i="13"/>
  <c r="AD160" i="13"/>
  <c r="AD159" i="13"/>
  <c r="Y180" i="17"/>
  <c r="Y208" i="17" s="1"/>
  <c r="AN180" i="17"/>
  <c r="AN208" i="17" s="1"/>
  <c r="U178" i="17"/>
  <c r="Z178" i="17"/>
  <c r="Z35" i="13" s="1"/>
  <c r="Z98" i="13" s="1"/>
  <c r="T180" i="17"/>
  <c r="T208" i="17" s="1"/>
  <c r="AI180" i="17"/>
  <c r="AI208" i="17" s="1"/>
  <c r="AJ178" i="17"/>
  <c r="AO178" i="17"/>
  <c r="AO35" i="13" s="1"/>
  <c r="AO98" i="13" s="1"/>
  <c r="AJ179" i="17" l="1"/>
  <c r="AJ207" i="17" s="1"/>
  <c r="AJ35" i="13"/>
  <c r="AJ98" i="13" s="1"/>
  <c r="U179" i="17"/>
  <c r="U207" i="17" s="1"/>
  <c r="U35" i="13"/>
  <c r="U98" i="13" s="1"/>
  <c r="AE97" i="13"/>
  <c r="T97" i="13"/>
  <c r="AO180" i="17"/>
  <c r="AO208" i="17" s="1"/>
  <c r="AO179" i="17"/>
  <c r="AO207" i="17" s="1"/>
  <c r="Z180" i="17"/>
  <c r="Z208" i="17" s="1"/>
  <c r="Z179" i="17"/>
  <c r="Z207" i="17" s="1"/>
  <c r="AE180" i="17"/>
  <c r="AE208" i="17" s="1"/>
  <c r="AE179" i="17"/>
  <c r="AE207" i="17" s="1"/>
  <c r="AF178" i="17"/>
  <c r="AF35" i="13" s="1"/>
  <c r="AF98" i="13" s="1"/>
  <c r="Y158" i="13"/>
  <c r="Y161" i="13"/>
  <c r="Y159" i="13"/>
  <c r="Y160" i="13"/>
  <c r="AE158" i="13"/>
  <c r="AE161" i="13"/>
  <c r="AE160" i="13"/>
  <c r="AE159" i="13"/>
  <c r="T158" i="13"/>
  <c r="T161" i="13"/>
  <c r="T160" i="13"/>
  <c r="T159" i="13"/>
  <c r="AI158" i="13"/>
  <c r="AI161" i="13"/>
  <c r="AI159" i="13"/>
  <c r="AI160" i="13"/>
  <c r="AN158" i="13"/>
  <c r="AN161" i="13"/>
  <c r="AN160" i="13"/>
  <c r="AN159" i="13"/>
  <c r="AA178" i="17"/>
  <c r="AA35" i="13" s="1"/>
  <c r="AA98" i="13" s="1"/>
  <c r="U180" i="17"/>
  <c r="U208" i="17" s="1"/>
  <c r="AJ180" i="17"/>
  <c r="AJ208" i="17" s="1"/>
  <c r="V178" i="17"/>
  <c r="V35" i="13" s="1"/>
  <c r="V98" i="13" s="1"/>
  <c r="AP178" i="17"/>
  <c r="AP35" i="13" s="1"/>
  <c r="AP98" i="13" s="1"/>
  <c r="AK178" i="17"/>
  <c r="AK35" i="13" s="1"/>
  <c r="AK98" i="13" s="1"/>
  <c r="V85" i="33"/>
  <c r="W85" i="33" s="1"/>
  <c r="X85" i="33" s="1"/>
  <c r="Y85" i="33" s="1"/>
  <c r="Z85" i="33" s="1"/>
  <c r="AA85" i="33" s="1"/>
  <c r="AB85" i="33" s="1"/>
  <c r="AC85" i="33" s="1"/>
  <c r="AD85" i="33" s="1"/>
  <c r="AE85" i="33" s="1"/>
  <c r="AF85" i="33" s="1"/>
  <c r="AG85" i="33" s="1"/>
  <c r="AH85" i="33" s="1"/>
  <c r="AI85" i="33" s="1"/>
  <c r="AJ85" i="33" s="1"/>
  <c r="AK85" i="33" s="1"/>
  <c r="AL85" i="33" s="1"/>
  <c r="AM85" i="33" s="1"/>
  <c r="AN85" i="33" s="1"/>
  <c r="AO85" i="33" s="1"/>
  <c r="AP85" i="33" s="1"/>
  <c r="AQ85" i="33" s="1"/>
  <c r="AR85" i="33" s="1"/>
  <c r="AS85" i="33" s="1"/>
  <c r="AT85" i="33" s="1"/>
  <c r="AU85" i="33" s="1"/>
  <c r="AV85" i="33" s="1"/>
  <c r="AW85" i="33" s="1"/>
  <c r="AX85" i="33" s="1"/>
  <c r="AY85" i="33" s="1"/>
  <c r="AZ85" i="33" s="1"/>
  <c r="BA85" i="33" s="1"/>
  <c r="BB85" i="33" s="1"/>
  <c r="BC85" i="33" s="1"/>
  <c r="BD85" i="33" s="1"/>
  <c r="BE85" i="33" s="1"/>
  <c r="BF85" i="33" s="1"/>
  <c r="BG85" i="33" s="1"/>
  <c r="BH85" i="33" s="1"/>
  <c r="BI85" i="33" s="1"/>
  <c r="AF180" i="17" l="1"/>
  <c r="AF208" i="17" s="1"/>
  <c r="AJ97" i="13"/>
  <c r="U97" i="13"/>
  <c r="AO97" i="13"/>
  <c r="Z97" i="13"/>
  <c r="AP179" i="17"/>
  <c r="AP207" i="17" s="1"/>
  <c r="AG178" i="17"/>
  <c r="AG35" i="13" s="1"/>
  <c r="AG98" i="13" s="1"/>
  <c r="AF179" i="17"/>
  <c r="AF207" i="17" s="1"/>
  <c r="AK180" i="17"/>
  <c r="AK208" i="17" s="1"/>
  <c r="AK179" i="17"/>
  <c r="AK207" i="17" s="1"/>
  <c r="W178" i="17"/>
  <c r="V179" i="17"/>
  <c r="V207" i="17" s="1"/>
  <c r="AF161" i="13"/>
  <c r="AA161" i="13"/>
  <c r="AA179" i="17"/>
  <c r="AA207" i="17" s="1"/>
  <c r="AB178" i="17"/>
  <c r="AB35" i="13" s="1"/>
  <c r="AB98" i="13" s="1"/>
  <c r="AA180" i="17"/>
  <c r="AA208" i="17" s="1"/>
  <c r="U158" i="13"/>
  <c r="U161" i="13"/>
  <c r="U160" i="13"/>
  <c r="U159" i="13"/>
  <c r="AP158" i="13"/>
  <c r="AP161" i="13"/>
  <c r="AP160" i="13"/>
  <c r="AP159" i="13"/>
  <c r="AO158" i="13"/>
  <c r="AO161" i="13"/>
  <c r="AO160" i="13"/>
  <c r="AO159" i="13"/>
  <c r="AJ158" i="13"/>
  <c r="AJ161" i="13"/>
  <c r="AJ160" i="13"/>
  <c r="AJ159" i="13"/>
  <c r="Z161" i="13"/>
  <c r="Z158" i="13"/>
  <c r="Z159" i="13"/>
  <c r="Z160" i="13"/>
  <c r="AL178" i="17"/>
  <c r="AL35" i="13" s="1"/>
  <c r="AL98" i="13" s="1"/>
  <c r="AP180" i="17"/>
  <c r="AP208" i="17" s="1"/>
  <c r="AQ178" i="17"/>
  <c r="V180" i="17"/>
  <c r="V208" i="17" s="1"/>
  <c r="M71" i="33"/>
  <c r="M70" i="33"/>
  <c r="M69" i="33"/>
  <c r="W179" i="17" l="1"/>
  <c r="W207" i="17" s="1"/>
  <c r="W35" i="13"/>
  <c r="W98" i="13" s="1"/>
  <c r="AQ179" i="17"/>
  <c r="AQ207" i="17" s="1"/>
  <c r="AQ35" i="13"/>
  <c r="AQ98" i="13" s="1"/>
  <c r="AA160" i="13"/>
  <c r="AF160" i="13"/>
  <c r="AF159" i="13"/>
  <c r="AF158" i="13"/>
  <c r="AA158" i="13"/>
  <c r="AB97" i="13"/>
  <c r="X178" i="17"/>
  <c r="AK97" i="13"/>
  <c r="AA97" i="13"/>
  <c r="V97" i="13"/>
  <c r="W180" i="17"/>
  <c r="W208" i="17" s="1"/>
  <c r="AF97" i="13"/>
  <c r="AP97" i="13"/>
  <c r="AA159" i="13"/>
  <c r="AG179" i="17"/>
  <c r="AG207" i="17" s="1"/>
  <c r="AG180" i="17"/>
  <c r="AG208" i="17" s="1"/>
  <c r="AG97" i="13"/>
  <c r="AH178" i="17"/>
  <c r="AH35" i="13" s="1"/>
  <c r="AH98" i="13" s="1"/>
  <c r="AL161" i="13"/>
  <c r="AL179" i="17"/>
  <c r="AL207" i="17" s="1"/>
  <c r="AC178" i="17"/>
  <c r="AC35" i="13" s="1"/>
  <c r="AC98" i="13" s="1"/>
  <c r="AB179" i="17"/>
  <c r="AB207" i="17" s="1"/>
  <c r="AB180" i="17"/>
  <c r="AB208" i="17" s="1"/>
  <c r="V158" i="13"/>
  <c r="V161" i="13"/>
  <c r="V160" i="13"/>
  <c r="V159" i="13"/>
  <c r="AB158" i="13"/>
  <c r="AB161" i="13"/>
  <c r="AB159" i="13"/>
  <c r="AB160" i="13"/>
  <c r="AK158" i="13"/>
  <c r="AK161" i="13"/>
  <c r="AK159" i="13"/>
  <c r="AK160" i="13"/>
  <c r="AM178" i="17"/>
  <c r="AM35" i="13" s="1"/>
  <c r="AM98" i="13" s="1"/>
  <c r="AL180" i="17"/>
  <c r="AL208" i="17" s="1"/>
  <c r="AQ180" i="17"/>
  <c r="AQ208" i="17" s="1"/>
  <c r="AR178" i="17"/>
  <c r="AR35" i="13" s="1"/>
  <c r="AR98" i="13" s="1"/>
  <c r="M74" i="33"/>
  <c r="M72" i="33" s="1"/>
  <c r="M82" i="33" s="1"/>
  <c r="U87" i="33" s="1"/>
  <c r="B64" i="34"/>
  <c r="B61" i="34"/>
  <c r="B59" i="34" s="1"/>
  <c r="B60" i="34" s="1"/>
  <c r="B42" i="34"/>
  <c r="B41" i="34" s="1"/>
  <c r="B62" i="34"/>
  <c r="W158" i="13" l="1"/>
  <c r="X180" i="17"/>
  <c r="X208" i="17" s="1"/>
  <c r="X35" i="13"/>
  <c r="X98" i="13" s="1"/>
  <c r="W159" i="13"/>
  <c r="W160" i="13"/>
  <c r="W97" i="13"/>
  <c r="W161" i="13"/>
  <c r="AL159" i="13"/>
  <c r="Y179" i="17"/>
  <c r="Y207" i="17" s="1"/>
  <c r="X179" i="17"/>
  <c r="X207" i="17" s="1"/>
  <c r="AL158" i="13"/>
  <c r="AQ97" i="13"/>
  <c r="AL97" i="13"/>
  <c r="AL160" i="13"/>
  <c r="AH180" i="17"/>
  <c r="AH208" i="17" s="1"/>
  <c r="AH179" i="17"/>
  <c r="AH207" i="17" s="1"/>
  <c r="AI179" i="17"/>
  <c r="AI207" i="17" s="1"/>
  <c r="AC180" i="17"/>
  <c r="AC208" i="17" s="1"/>
  <c r="AC179" i="17"/>
  <c r="AC207" i="17" s="1"/>
  <c r="AD179" i="17"/>
  <c r="AD207" i="17" s="1"/>
  <c r="AG159" i="13"/>
  <c r="AG160" i="13"/>
  <c r="AG158" i="13"/>
  <c r="AG161" i="13"/>
  <c r="AS178" i="17"/>
  <c r="AR179" i="17"/>
  <c r="AR207" i="17" s="1"/>
  <c r="AM180" i="17"/>
  <c r="AM208" i="17" s="1"/>
  <c r="AM179" i="17"/>
  <c r="AM207" i="17" s="1"/>
  <c r="AN179" i="17"/>
  <c r="AN207" i="17" s="1"/>
  <c r="AQ158" i="13"/>
  <c r="AQ161" i="13"/>
  <c r="AQ160" i="13"/>
  <c r="AQ159" i="13"/>
  <c r="AR180" i="17"/>
  <c r="AR208" i="17" s="1"/>
  <c r="V87" i="33"/>
  <c r="B44" i="34"/>
  <c r="Y97" i="13" l="1"/>
  <c r="AS179" i="17"/>
  <c r="AS207" i="17" s="1"/>
  <c r="AS35" i="13"/>
  <c r="AS98" i="13" s="1"/>
  <c r="X158" i="13"/>
  <c r="X161" i="13"/>
  <c r="X160" i="13"/>
  <c r="X97" i="13"/>
  <c r="AS161" i="13"/>
  <c r="X159" i="13"/>
  <c r="AT178" i="17"/>
  <c r="AS180" i="17"/>
  <c r="AS208" i="17" s="1"/>
  <c r="AR97" i="13"/>
  <c r="AC97" i="13"/>
  <c r="AD97" i="13"/>
  <c r="AH97" i="13"/>
  <c r="AI97" i="13"/>
  <c r="AM97" i="13"/>
  <c r="AN97" i="13"/>
  <c r="AM159" i="13"/>
  <c r="AC158" i="13"/>
  <c r="AC161" i="13"/>
  <c r="AC160" i="13"/>
  <c r="AC159" i="13"/>
  <c r="AH158" i="13"/>
  <c r="AH160" i="13"/>
  <c r="AH161" i="13"/>
  <c r="AH159" i="13"/>
  <c r="AM158" i="13"/>
  <c r="AM160" i="13"/>
  <c r="AM161" i="13"/>
  <c r="AR158" i="13"/>
  <c r="AR161" i="13"/>
  <c r="AR159" i="13"/>
  <c r="AR160" i="13"/>
  <c r="B23" i="34"/>
  <c r="B25" i="34"/>
  <c r="B24" i="34"/>
  <c r="C88" i="34"/>
  <c r="B94" i="34" s="1"/>
  <c r="H36" i="34"/>
  <c r="G36" i="34"/>
  <c r="F36" i="34"/>
  <c r="AT179" i="17" l="1"/>
  <c r="AT207" i="17" s="1"/>
  <c r="AT35" i="13"/>
  <c r="AS158" i="13"/>
  <c r="AT161" i="13"/>
  <c r="AS97" i="13"/>
  <c r="AS160" i="13"/>
  <c r="AS159" i="13"/>
  <c r="AU178" i="17"/>
  <c r="AT180" i="17"/>
  <c r="AT208" i="17" s="1"/>
  <c r="AT97" i="13"/>
  <c r="AT158" i="13"/>
  <c r="AT160" i="13"/>
  <c r="B22" i="34"/>
  <c r="F20" i="34"/>
  <c r="P126" i="19"/>
  <c r="P125" i="19"/>
  <c r="S208" i="14"/>
  <c r="S259" i="14" s="1"/>
  <c r="S228" i="17"/>
  <c r="S227" i="17"/>
  <c r="C30" i="34" l="1"/>
  <c r="C31" i="34" s="1"/>
  <c r="C34" i="34" s="1"/>
  <c r="C69" i="34"/>
  <c r="C70" i="34" s="1"/>
  <c r="C73" i="34" s="1"/>
  <c r="C49" i="34"/>
  <c r="C50" i="34" s="1"/>
  <c r="C53" i="34" s="1"/>
  <c r="H56" i="34" s="1"/>
  <c r="AT159" i="13"/>
  <c r="AT98" i="13"/>
  <c r="AV178" i="17"/>
  <c r="AW178" i="17" s="1"/>
  <c r="AU35" i="13"/>
  <c r="AU180" i="17"/>
  <c r="AU208" i="17" s="1"/>
  <c r="AU179" i="17"/>
  <c r="AU207" i="17" s="1"/>
  <c r="G56" i="34"/>
  <c r="H37" i="34"/>
  <c r="G37" i="34"/>
  <c r="F37" i="34"/>
  <c r="T23" i="30"/>
  <c r="T22" i="30"/>
  <c r="T21" i="30"/>
  <c r="G76" i="34" l="1"/>
  <c r="F76" i="34"/>
  <c r="H76" i="34"/>
  <c r="F56" i="34"/>
  <c r="AU159" i="13"/>
  <c r="AU98" i="13"/>
  <c r="AV180" i="17"/>
  <c r="AV208" i="17" s="1"/>
  <c r="AU160" i="13"/>
  <c r="AW179" i="17"/>
  <c r="AW207" i="17" s="1"/>
  <c r="AW35" i="13"/>
  <c r="AV179" i="17"/>
  <c r="AV207" i="17" s="1"/>
  <c r="AV35" i="13"/>
  <c r="AX178" i="17"/>
  <c r="AW180" i="17"/>
  <c r="AW208" i="17" s="1"/>
  <c r="AU161" i="13"/>
  <c r="AU158" i="13"/>
  <c r="AU97" i="13"/>
  <c r="AW158" i="13"/>
  <c r="AD172" i="14"/>
  <c r="AV160" i="13" l="1"/>
  <c r="AV98" i="13"/>
  <c r="AV159" i="13"/>
  <c r="AW97" i="13"/>
  <c r="AW98" i="13"/>
  <c r="AW159" i="13"/>
  <c r="AW161" i="13"/>
  <c r="AV161" i="13"/>
  <c r="AV158" i="13"/>
  <c r="AV97" i="13"/>
  <c r="AW160" i="13"/>
  <c r="AX179" i="17"/>
  <c r="AX207" i="17" s="1"/>
  <c r="AX35" i="13"/>
  <c r="AY178" i="17"/>
  <c r="AY180" i="17" s="1"/>
  <c r="AY208" i="17" s="1"/>
  <c r="AX180" i="17"/>
  <c r="AX208" i="17" s="1"/>
  <c r="AZ178" i="17" l="1"/>
  <c r="AZ179" i="17" s="1"/>
  <c r="AZ207" i="17" s="1"/>
  <c r="AX97" i="13"/>
  <c r="AX98" i="13"/>
  <c r="AX159" i="13"/>
  <c r="AX161" i="13"/>
  <c r="AX158" i="13"/>
  <c r="AZ35" i="13"/>
  <c r="AZ98" i="13" s="1"/>
  <c r="AY179" i="17"/>
  <c r="AY207" i="17" s="1"/>
  <c r="AY35" i="13"/>
  <c r="AX160" i="13"/>
  <c r="AZ180" i="17"/>
  <c r="AZ208" i="17" s="1"/>
  <c r="BA178" i="17"/>
  <c r="U19" i="30"/>
  <c r="U92" i="17"/>
  <c r="U35" i="32"/>
  <c r="U214" i="14"/>
  <c r="AY97" i="13" l="1"/>
  <c r="AY98" i="13"/>
  <c r="AY159" i="13"/>
  <c r="AY161" i="13"/>
  <c r="AY158" i="13"/>
  <c r="AY160" i="13"/>
  <c r="BA179" i="17"/>
  <c r="BA207" i="17" s="1"/>
  <c r="BA35" i="13"/>
  <c r="BA98" i="13" s="1"/>
  <c r="AZ97" i="13"/>
  <c r="AZ158" i="13"/>
  <c r="AZ161" i="13"/>
  <c r="AZ160" i="13"/>
  <c r="AZ159" i="13"/>
  <c r="BA180" i="17"/>
  <c r="BA208" i="17" s="1"/>
  <c r="BB178" i="17"/>
  <c r="BB179" i="17" l="1"/>
  <c r="BB207" i="17" s="1"/>
  <c r="BB35" i="13"/>
  <c r="BB98" i="13" s="1"/>
  <c r="BA97" i="13"/>
  <c r="BA158" i="13"/>
  <c r="BA161" i="13"/>
  <c r="BA160" i="13"/>
  <c r="BA159" i="13"/>
  <c r="BB180" i="17"/>
  <c r="BB208" i="17" s="1"/>
  <c r="BC178" i="17"/>
  <c r="BI6" i="33"/>
  <c r="BH6" i="33"/>
  <c r="BG6" i="33"/>
  <c r="BF6" i="33"/>
  <c r="BE6" i="33"/>
  <c r="BD6" i="33"/>
  <c r="BC6" i="33"/>
  <c r="BB6" i="33"/>
  <c r="BA6" i="33"/>
  <c r="AZ6" i="33"/>
  <c r="AY6" i="33"/>
  <c r="AX6" i="33"/>
  <c r="AW6" i="33"/>
  <c r="AV6" i="33"/>
  <c r="AU6" i="33"/>
  <c r="AT6" i="33"/>
  <c r="AS6" i="33"/>
  <c r="AR6" i="33"/>
  <c r="AQ6" i="33"/>
  <c r="AP6" i="33"/>
  <c r="AO6" i="33"/>
  <c r="AN6" i="33"/>
  <c r="AM6" i="33"/>
  <c r="AL6" i="33"/>
  <c r="AK6" i="33"/>
  <c r="AJ6" i="33"/>
  <c r="AI6" i="33"/>
  <c r="AH6" i="33"/>
  <c r="AG6" i="33"/>
  <c r="AF6" i="33"/>
  <c r="AE6" i="33"/>
  <c r="AD6" i="33"/>
  <c r="AC6" i="33"/>
  <c r="AB6" i="33"/>
  <c r="AA6" i="33"/>
  <c r="Z6" i="33"/>
  <c r="Y6" i="33"/>
  <c r="X6" i="33"/>
  <c r="W6" i="33"/>
  <c r="W87" i="33" s="1"/>
  <c r="X87" i="33" s="1"/>
  <c r="V6" i="33"/>
  <c r="U6" i="33"/>
  <c r="N6" i="33"/>
  <c r="A3" i="33"/>
  <c r="U37" i="33"/>
  <c r="V37" i="33" s="1"/>
  <c r="W37" i="33" s="1"/>
  <c r="X37" i="33" s="1"/>
  <c r="Y37" i="33" s="1"/>
  <c r="Z37" i="33" s="1"/>
  <c r="AA37" i="33" s="1"/>
  <c r="AB37" i="33" s="1"/>
  <c r="AC37" i="33" s="1"/>
  <c r="AD37" i="33" s="1"/>
  <c r="AE37" i="33" s="1"/>
  <c r="AF37" i="33" s="1"/>
  <c r="AG37" i="33" s="1"/>
  <c r="AH37" i="33" s="1"/>
  <c r="AI37" i="33" s="1"/>
  <c r="AJ37" i="33" s="1"/>
  <c r="AK37" i="33" s="1"/>
  <c r="AL37" i="33" s="1"/>
  <c r="AM37" i="33" s="1"/>
  <c r="AN37" i="33" s="1"/>
  <c r="AO37" i="33" s="1"/>
  <c r="AP37" i="33" s="1"/>
  <c r="AQ37" i="33" s="1"/>
  <c r="AR37" i="33" s="1"/>
  <c r="AS37" i="33" s="1"/>
  <c r="AT37" i="33" s="1"/>
  <c r="AU37" i="33" s="1"/>
  <c r="AV37" i="33" s="1"/>
  <c r="AW37" i="33" s="1"/>
  <c r="AX37" i="33" s="1"/>
  <c r="AY37" i="33" s="1"/>
  <c r="AZ37" i="33" s="1"/>
  <c r="BA37" i="33" s="1"/>
  <c r="BB37" i="33" s="1"/>
  <c r="BC37" i="33" s="1"/>
  <c r="BD37" i="33" s="1"/>
  <c r="BE37" i="33" s="1"/>
  <c r="BF37" i="33" s="1"/>
  <c r="BG37" i="33" s="1"/>
  <c r="BH37" i="33" s="1"/>
  <c r="BI37" i="33" s="1"/>
  <c r="U13" i="33"/>
  <c r="V13" i="33" s="1"/>
  <c r="W13" i="33" s="1"/>
  <c r="X13" i="33" s="1"/>
  <c r="Y13" i="33" s="1"/>
  <c r="Z13" i="33" s="1"/>
  <c r="AA13" i="33" s="1"/>
  <c r="AB13" i="33" s="1"/>
  <c r="AC13" i="33" s="1"/>
  <c r="AD13" i="33" s="1"/>
  <c r="AE13" i="33" s="1"/>
  <c r="AF13" i="33" s="1"/>
  <c r="AG13" i="33" s="1"/>
  <c r="AH13" i="33" s="1"/>
  <c r="AI13" i="33" s="1"/>
  <c r="AJ13" i="33" s="1"/>
  <c r="AK13" i="33" s="1"/>
  <c r="AL13" i="33" s="1"/>
  <c r="AM13" i="33" s="1"/>
  <c r="AN13" i="33" s="1"/>
  <c r="AO13" i="33" s="1"/>
  <c r="AP13" i="33" s="1"/>
  <c r="AQ13" i="33" s="1"/>
  <c r="AR13" i="33" s="1"/>
  <c r="AS13" i="33" s="1"/>
  <c r="AT13" i="33" s="1"/>
  <c r="AU13" i="33" s="1"/>
  <c r="AV13" i="33" s="1"/>
  <c r="AW13" i="33" s="1"/>
  <c r="AX13" i="33" s="1"/>
  <c r="AY13" i="33" s="1"/>
  <c r="AZ13" i="33" s="1"/>
  <c r="BA13" i="33" s="1"/>
  <c r="BB13" i="33" s="1"/>
  <c r="BC13" i="33" s="1"/>
  <c r="BD13" i="33" s="1"/>
  <c r="BE13" i="33" s="1"/>
  <c r="BF13" i="33" s="1"/>
  <c r="BG13" i="33" s="1"/>
  <c r="BH13" i="33" s="1"/>
  <c r="BI13" i="33" s="1"/>
  <c r="O5" i="33"/>
  <c r="P5" i="33" s="1"/>
  <c r="Q5" i="33" s="1"/>
  <c r="R5" i="33" s="1"/>
  <c r="S5" i="33" s="1"/>
  <c r="T5" i="33" s="1"/>
  <c r="U5" i="33" s="1"/>
  <c r="V5" i="33" s="1"/>
  <c r="W5" i="33" s="1"/>
  <c r="X5" i="33" s="1"/>
  <c r="Y5" i="33" s="1"/>
  <c r="Z5" i="33" s="1"/>
  <c r="AA5" i="33" s="1"/>
  <c r="AB5" i="33" s="1"/>
  <c r="AC5" i="33" s="1"/>
  <c r="AD5" i="33" s="1"/>
  <c r="AE5" i="33" s="1"/>
  <c r="AF5" i="33" s="1"/>
  <c r="AG5" i="33" s="1"/>
  <c r="AH5" i="33" s="1"/>
  <c r="AI5" i="33" s="1"/>
  <c r="AJ5" i="33" s="1"/>
  <c r="AK5" i="33" s="1"/>
  <c r="AL5" i="33" s="1"/>
  <c r="AM5" i="33" s="1"/>
  <c r="AN5" i="33" s="1"/>
  <c r="AO5" i="33" s="1"/>
  <c r="AP5" i="33" s="1"/>
  <c r="AQ5" i="33" s="1"/>
  <c r="AR5" i="33" s="1"/>
  <c r="AS5" i="33" s="1"/>
  <c r="AT5" i="33" s="1"/>
  <c r="AU5" i="33" s="1"/>
  <c r="AV5" i="33" s="1"/>
  <c r="AW5" i="33" s="1"/>
  <c r="AX5" i="33" s="1"/>
  <c r="AY5" i="33" s="1"/>
  <c r="AZ5" i="33" s="1"/>
  <c r="BA5" i="33" s="1"/>
  <c r="BB5" i="33" s="1"/>
  <c r="BC5" i="33" s="1"/>
  <c r="BD5" i="33" s="1"/>
  <c r="BE5" i="33" s="1"/>
  <c r="BF5" i="33" s="1"/>
  <c r="BG5" i="33" s="1"/>
  <c r="BH5" i="33" s="1"/>
  <c r="BI5" i="33" s="1"/>
  <c r="T65" i="8"/>
  <c r="T6" i="33" s="1"/>
  <c r="S65" i="8"/>
  <c r="S6" i="33" s="1"/>
  <c r="R65" i="8"/>
  <c r="R6" i="33" s="1"/>
  <c r="Q65" i="8"/>
  <c r="Q6" i="33" s="1"/>
  <c r="P65" i="8"/>
  <c r="P6" i="33" s="1"/>
  <c r="O65" i="8"/>
  <c r="O6" i="33" s="1"/>
  <c r="BC179" i="17" l="1"/>
  <c r="BC207" i="17" s="1"/>
  <c r="BC35" i="13"/>
  <c r="BC98" i="13" s="1"/>
  <c r="BB97" i="13"/>
  <c r="Y87" i="33"/>
  <c r="Z87" i="33" s="1"/>
  <c r="AA87" i="33" s="1"/>
  <c r="AB87" i="33" s="1"/>
  <c r="AC87" i="33" s="1"/>
  <c r="AD87" i="33" s="1"/>
  <c r="AE87" i="33" s="1"/>
  <c r="AF87" i="33" s="1"/>
  <c r="AG87" i="33" s="1"/>
  <c r="AH87" i="33" s="1"/>
  <c r="AI87" i="33" s="1"/>
  <c r="AJ87" i="33" s="1"/>
  <c r="AK87" i="33" s="1"/>
  <c r="AL87" i="33" s="1"/>
  <c r="AM87" i="33" s="1"/>
  <c r="AN87" i="33" s="1"/>
  <c r="AO87" i="33" s="1"/>
  <c r="AP87" i="33" s="1"/>
  <c r="AQ87" i="33" s="1"/>
  <c r="AR87" i="33" s="1"/>
  <c r="AS87" i="33" s="1"/>
  <c r="AT87" i="33" s="1"/>
  <c r="AU87" i="33" s="1"/>
  <c r="AV87" i="33" s="1"/>
  <c r="AW87" i="33" s="1"/>
  <c r="AX87" i="33" s="1"/>
  <c r="AY87" i="33" s="1"/>
  <c r="AZ87" i="33" s="1"/>
  <c r="BA87" i="33" s="1"/>
  <c r="BB87" i="33" s="1"/>
  <c r="BC87" i="33" s="1"/>
  <c r="BD87" i="33" s="1"/>
  <c r="BE87" i="33" s="1"/>
  <c r="BF87" i="33" s="1"/>
  <c r="BG87" i="33" s="1"/>
  <c r="BH87" i="33" s="1"/>
  <c r="BI87" i="33" s="1"/>
  <c r="BB161" i="13"/>
  <c r="BB158" i="13"/>
  <c r="BB160" i="13"/>
  <c r="BB159" i="13"/>
  <c r="BC180" i="17"/>
  <c r="BC208" i="17" s="1"/>
  <c r="BD178" i="17"/>
  <c r="O44" i="33"/>
  <c r="P44" i="33" s="1"/>
  <c r="Q44" i="33" s="1"/>
  <c r="R44" i="33" s="1"/>
  <c r="S44" i="33" s="1"/>
  <c r="O42" i="33"/>
  <c r="P42" i="33" s="1"/>
  <c r="Q42" i="33" s="1"/>
  <c r="R42" i="33" s="1"/>
  <c r="S42" i="33" s="1"/>
  <c r="O40" i="33"/>
  <c r="P40" i="33" s="1"/>
  <c r="Q40" i="33" s="1"/>
  <c r="R40" i="33" s="1"/>
  <c r="S40" i="33" s="1"/>
  <c r="O43" i="33"/>
  <c r="P43" i="33" s="1"/>
  <c r="Q43" i="33" s="1"/>
  <c r="R43" i="33" s="1"/>
  <c r="S43" i="33" s="1"/>
  <c r="O41" i="33"/>
  <c r="P41" i="33" s="1"/>
  <c r="Q41" i="33" s="1"/>
  <c r="R41" i="33" s="1"/>
  <c r="S41" i="33" s="1"/>
  <c r="O39" i="33"/>
  <c r="P39" i="33" s="1"/>
  <c r="Q39" i="33" s="1"/>
  <c r="R39" i="33" s="1"/>
  <c r="S39" i="33" s="1"/>
  <c r="O20" i="33"/>
  <c r="P20" i="33" s="1"/>
  <c r="Q20" i="33" s="1"/>
  <c r="R20" i="33" s="1"/>
  <c r="S20" i="33" s="1"/>
  <c r="O15" i="33"/>
  <c r="P15" i="33" s="1"/>
  <c r="Q15" i="33" s="1"/>
  <c r="R15" i="33" s="1"/>
  <c r="S15" i="33" s="1"/>
  <c r="O16" i="33"/>
  <c r="P16" i="33" s="1"/>
  <c r="Q16" i="33" s="1"/>
  <c r="R16" i="33" s="1"/>
  <c r="S16" i="33" s="1"/>
  <c r="O17" i="33"/>
  <c r="P17" i="33" s="1"/>
  <c r="Q17" i="33" s="1"/>
  <c r="R17" i="33" s="1"/>
  <c r="S17" i="33" s="1"/>
  <c r="O18" i="33"/>
  <c r="P18" i="33" s="1"/>
  <c r="Q18" i="33" s="1"/>
  <c r="R18" i="33" s="1"/>
  <c r="S18" i="33" s="1"/>
  <c r="O19" i="33"/>
  <c r="P19" i="33" s="1"/>
  <c r="Q19" i="33" s="1"/>
  <c r="R19" i="33" s="1"/>
  <c r="S19" i="33" s="1"/>
  <c r="BD179" i="17" l="1"/>
  <c r="BD207" i="17" s="1"/>
  <c r="BD35" i="13"/>
  <c r="BD98" i="13" s="1"/>
  <c r="BC97" i="13"/>
  <c r="X44" i="33"/>
  <c r="Y44" i="33" s="1"/>
  <c r="Z44" i="33" s="1"/>
  <c r="AA44" i="33" s="1"/>
  <c r="AB44" i="33" s="1"/>
  <c r="AC44" i="33" s="1"/>
  <c r="AD44" i="33" s="1"/>
  <c r="AE44" i="33" s="1"/>
  <c r="AF44" i="33" s="1"/>
  <c r="AG44" i="33" s="1"/>
  <c r="AH44" i="33" s="1"/>
  <c r="AI44" i="33" s="1"/>
  <c r="AJ44" i="33" s="1"/>
  <c r="AK44" i="33" s="1"/>
  <c r="AL44" i="33" s="1"/>
  <c r="AM44" i="33" s="1"/>
  <c r="AN44" i="33" s="1"/>
  <c r="AO44" i="33" s="1"/>
  <c r="AP44" i="33" s="1"/>
  <c r="AQ44" i="33" s="1"/>
  <c r="AR44" i="33" s="1"/>
  <c r="AS44" i="33" s="1"/>
  <c r="AT44" i="33" s="1"/>
  <c r="AU44" i="33" s="1"/>
  <c r="AV44" i="33" s="1"/>
  <c r="AW44" i="33" s="1"/>
  <c r="AX44" i="33" s="1"/>
  <c r="AY44" i="33" s="1"/>
  <c r="AZ44" i="33" s="1"/>
  <c r="BA44" i="33" s="1"/>
  <c r="BB44" i="33" s="1"/>
  <c r="BC44" i="33" s="1"/>
  <c r="BD44" i="33" s="1"/>
  <c r="BE44" i="33" s="1"/>
  <c r="BF44" i="33" s="1"/>
  <c r="BG44" i="33" s="1"/>
  <c r="BH44" i="33" s="1"/>
  <c r="BI44" i="33" s="1"/>
  <c r="X17" i="33"/>
  <c r="Y17" i="33" s="1"/>
  <c r="Z17" i="33" s="1"/>
  <c r="AA17" i="33" s="1"/>
  <c r="AB17" i="33" s="1"/>
  <c r="AC17" i="33" s="1"/>
  <c r="AD17" i="33" s="1"/>
  <c r="AE17" i="33" s="1"/>
  <c r="AF17" i="33" s="1"/>
  <c r="AG17" i="33" s="1"/>
  <c r="AH17" i="33" s="1"/>
  <c r="AI17" i="33" s="1"/>
  <c r="AJ17" i="33" s="1"/>
  <c r="AK17" i="33" s="1"/>
  <c r="AL17" i="33" s="1"/>
  <c r="AM17" i="33" s="1"/>
  <c r="AN17" i="33" s="1"/>
  <c r="AO17" i="33" s="1"/>
  <c r="AP17" i="33" s="1"/>
  <c r="AQ17" i="33" s="1"/>
  <c r="AR17" i="33" s="1"/>
  <c r="AS17" i="33" s="1"/>
  <c r="AT17" i="33" s="1"/>
  <c r="AU17" i="33" s="1"/>
  <c r="AV17" i="33" s="1"/>
  <c r="AW17" i="33" s="1"/>
  <c r="AX17" i="33" s="1"/>
  <c r="AY17" i="33" s="1"/>
  <c r="AZ17" i="33" s="1"/>
  <c r="BA17" i="33" s="1"/>
  <c r="BB17" i="33" s="1"/>
  <c r="BC17" i="33" s="1"/>
  <c r="BD17" i="33" s="1"/>
  <c r="BE17" i="33" s="1"/>
  <c r="BF17" i="33" s="1"/>
  <c r="BG17" i="33" s="1"/>
  <c r="BH17" i="33" s="1"/>
  <c r="BI17" i="33" s="1"/>
  <c r="X20" i="33"/>
  <c r="Y20" i="33" s="1"/>
  <c r="Z20" i="33" s="1"/>
  <c r="AA20" i="33" s="1"/>
  <c r="AB20" i="33" s="1"/>
  <c r="AC20" i="33" s="1"/>
  <c r="AD20" i="33" s="1"/>
  <c r="AE20" i="33" s="1"/>
  <c r="AF20" i="33" s="1"/>
  <c r="AG20" i="33" s="1"/>
  <c r="AH20" i="33" s="1"/>
  <c r="AI20" i="33" s="1"/>
  <c r="AJ20" i="33" s="1"/>
  <c r="AK20" i="33" s="1"/>
  <c r="AL20" i="33" s="1"/>
  <c r="AM20" i="33" s="1"/>
  <c r="AN20" i="33" s="1"/>
  <c r="AO20" i="33" s="1"/>
  <c r="AP20" i="33" s="1"/>
  <c r="AQ20" i="33" s="1"/>
  <c r="AR20" i="33" s="1"/>
  <c r="AS20" i="33" s="1"/>
  <c r="AT20" i="33" s="1"/>
  <c r="AU20" i="33" s="1"/>
  <c r="AV20" i="33" s="1"/>
  <c r="AW20" i="33" s="1"/>
  <c r="AX20" i="33" s="1"/>
  <c r="AY20" i="33" s="1"/>
  <c r="AZ20" i="33" s="1"/>
  <c r="BA20" i="33" s="1"/>
  <c r="BB20" i="33" s="1"/>
  <c r="BC20" i="33" s="1"/>
  <c r="BD20" i="33" s="1"/>
  <c r="BE20" i="33" s="1"/>
  <c r="BF20" i="33" s="1"/>
  <c r="BG20" i="33" s="1"/>
  <c r="BH20" i="33" s="1"/>
  <c r="BI20" i="33" s="1"/>
  <c r="X39" i="33"/>
  <c r="Y39" i="33" s="1"/>
  <c r="Z39" i="33" s="1"/>
  <c r="AA39" i="33" s="1"/>
  <c r="AB39" i="33" s="1"/>
  <c r="AC39" i="33" s="1"/>
  <c r="AD39" i="33" s="1"/>
  <c r="AE39" i="33" s="1"/>
  <c r="AF39" i="33" s="1"/>
  <c r="AG39" i="33" s="1"/>
  <c r="AH39" i="33" s="1"/>
  <c r="AI39" i="33" s="1"/>
  <c r="AJ39" i="33" s="1"/>
  <c r="AK39" i="33" s="1"/>
  <c r="AL39" i="33" s="1"/>
  <c r="AM39" i="33" s="1"/>
  <c r="AN39" i="33" s="1"/>
  <c r="AO39" i="33" s="1"/>
  <c r="AP39" i="33" s="1"/>
  <c r="AQ39" i="33" s="1"/>
  <c r="AR39" i="33" s="1"/>
  <c r="AS39" i="33" s="1"/>
  <c r="AT39" i="33" s="1"/>
  <c r="AU39" i="33" s="1"/>
  <c r="AV39" i="33" s="1"/>
  <c r="AW39" i="33" s="1"/>
  <c r="AX39" i="33" s="1"/>
  <c r="AY39" i="33" s="1"/>
  <c r="AZ39" i="33" s="1"/>
  <c r="BA39" i="33" s="1"/>
  <c r="BB39" i="33" s="1"/>
  <c r="BC39" i="33" s="1"/>
  <c r="BD39" i="33" s="1"/>
  <c r="BE39" i="33" s="1"/>
  <c r="BF39" i="33" s="1"/>
  <c r="BG39" i="33" s="1"/>
  <c r="BH39" i="33" s="1"/>
  <c r="BI39" i="33" s="1"/>
  <c r="X40" i="33"/>
  <c r="Y40" i="33" s="1"/>
  <c r="Z40" i="33" s="1"/>
  <c r="AA40" i="33" s="1"/>
  <c r="AB40" i="33" s="1"/>
  <c r="AC40" i="33" s="1"/>
  <c r="AD40" i="33" s="1"/>
  <c r="AE40" i="33" s="1"/>
  <c r="AF40" i="33" s="1"/>
  <c r="AG40" i="33" s="1"/>
  <c r="AH40" i="33" s="1"/>
  <c r="AI40" i="33" s="1"/>
  <c r="AJ40" i="33" s="1"/>
  <c r="AK40" i="33" s="1"/>
  <c r="AL40" i="33" s="1"/>
  <c r="AM40" i="33" s="1"/>
  <c r="AN40" i="33" s="1"/>
  <c r="AO40" i="33" s="1"/>
  <c r="AP40" i="33" s="1"/>
  <c r="AQ40" i="33" s="1"/>
  <c r="AR40" i="33" s="1"/>
  <c r="AS40" i="33" s="1"/>
  <c r="AT40" i="33" s="1"/>
  <c r="AU40" i="33" s="1"/>
  <c r="AV40" i="33" s="1"/>
  <c r="AW40" i="33" s="1"/>
  <c r="AX40" i="33" s="1"/>
  <c r="AY40" i="33" s="1"/>
  <c r="AZ40" i="33" s="1"/>
  <c r="BA40" i="33" s="1"/>
  <c r="BB40" i="33" s="1"/>
  <c r="BC40" i="33" s="1"/>
  <c r="BD40" i="33" s="1"/>
  <c r="BE40" i="33" s="1"/>
  <c r="BF40" i="33" s="1"/>
  <c r="BG40" i="33" s="1"/>
  <c r="BH40" i="33" s="1"/>
  <c r="BI40" i="33" s="1"/>
  <c r="X16" i="33"/>
  <c r="Y16" i="33" s="1"/>
  <c r="Z16" i="33" s="1"/>
  <c r="AA16" i="33" s="1"/>
  <c r="AB16" i="33" s="1"/>
  <c r="AC16" i="33" s="1"/>
  <c r="AD16" i="33" s="1"/>
  <c r="AE16" i="33" s="1"/>
  <c r="AF16" i="33" s="1"/>
  <c r="AG16" i="33" s="1"/>
  <c r="AH16" i="33" s="1"/>
  <c r="AI16" i="33" s="1"/>
  <c r="AJ16" i="33" s="1"/>
  <c r="AK16" i="33" s="1"/>
  <c r="AL16" i="33" s="1"/>
  <c r="AM16" i="33" s="1"/>
  <c r="AN16" i="33" s="1"/>
  <c r="AO16" i="33" s="1"/>
  <c r="AP16" i="33" s="1"/>
  <c r="AQ16" i="33" s="1"/>
  <c r="AR16" i="33" s="1"/>
  <c r="AS16" i="33" s="1"/>
  <c r="AT16" i="33" s="1"/>
  <c r="AU16" i="33" s="1"/>
  <c r="AV16" i="33" s="1"/>
  <c r="AW16" i="33" s="1"/>
  <c r="AX16" i="33" s="1"/>
  <c r="AY16" i="33" s="1"/>
  <c r="AZ16" i="33" s="1"/>
  <c r="BA16" i="33" s="1"/>
  <c r="BB16" i="33" s="1"/>
  <c r="BC16" i="33" s="1"/>
  <c r="BD16" i="33" s="1"/>
  <c r="BE16" i="33" s="1"/>
  <c r="BF16" i="33" s="1"/>
  <c r="BG16" i="33" s="1"/>
  <c r="BH16" i="33" s="1"/>
  <c r="BI16" i="33" s="1"/>
  <c r="X42" i="33"/>
  <c r="Y42" i="33" s="1"/>
  <c r="Z42" i="33" s="1"/>
  <c r="AA42" i="33" s="1"/>
  <c r="AB42" i="33" s="1"/>
  <c r="AC42" i="33" s="1"/>
  <c r="AD42" i="33" s="1"/>
  <c r="AE42" i="33" s="1"/>
  <c r="AF42" i="33" s="1"/>
  <c r="AG42" i="33" s="1"/>
  <c r="AH42" i="33" s="1"/>
  <c r="AI42" i="33" s="1"/>
  <c r="AJ42" i="33" s="1"/>
  <c r="AK42" i="33" s="1"/>
  <c r="AL42" i="33" s="1"/>
  <c r="AM42" i="33" s="1"/>
  <c r="AN42" i="33" s="1"/>
  <c r="AO42" i="33" s="1"/>
  <c r="AP42" i="33" s="1"/>
  <c r="AQ42" i="33" s="1"/>
  <c r="AR42" i="33" s="1"/>
  <c r="AS42" i="33" s="1"/>
  <c r="AT42" i="33" s="1"/>
  <c r="AU42" i="33" s="1"/>
  <c r="AV42" i="33" s="1"/>
  <c r="AW42" i="33" s="1"/>
  <c r="AX42" i="33" s="1"/>
  <c r="AY42" i="33" s="1"/>
  <c r="AZ42" i="33" s="1"/>
  <c r="BA42" i="33" s="1"/>
  <c r="BB42" i="33" s="1"/>
  <c r="BC42" i="33" s="1"/>
  <c r="BD42" i="33" s="1"/>
  <c r="BE42" i="33" s="1"/>
  <c r="BF42" i="33" s="1"/>
  <c r="BG42" i="33" s="1"/>
  <c r="BH42" i="33" s="1"/>
  <c r="BI42" i="33" s="1"/>
  <c r="X19" i="33"/>
  <c r="Y19" i="33" s="1"/>
  <c r="Z19" i="33" s="1"/>
  <c r="AA19" i="33" s="1"/>
  <c r="AB19" i="33" s="1"/>
  <c r="AC19" i="33" s="1"/>
  <c r="AD19" i="33" s="1"/>
  <c r="AE19" i="33" s="1"/>
  <c r="AF19" i="33" s="1"/>
  <c r="AG19" i="33" s="1"/>
  <c r="AH19" i="33" s="1"/>
  <c r="AI19" i="33" s="1"/>
  <c r="AJ19" i="33" s="1"/>
  <c r="AK19" i="33" s="1"/>
  <c r="AL19" i="33" s="1"/>
  <c r="AM19" i="33" s="1"/>
  <c r="AN19" i="33" s="1"/>
  <c r="AO19" i="33" s="1"/>
  <c r="AP19" i="33" s="1"/>
  <c r="AQ19" i="33" s="1"/>
  <c r="AR19" i="33" s="1"/>
  <c r="AS19" i="33" s="1"/>
  <c r="AT19" i="33" s="1"/>
  <c r="AU19" i="33" s="1"/>
  <c r="AV19" i="33" s="1"/>
  <c r="AW19" i="33" s="1"/>
  <c r="AX19" i="33" s="1"/>
  <c r="AY19" i="33" s="1"/>
  <c r="AZ19" i="33" s="1"/>
  <c r="BA19" i="33" s="1"/>
  <c r="BB19" i="33" s="1"/>
  <c r="BC19" i="33" s="1"/>
  <c r="BD19" i="33" s="1"/>
  <c r="BE19" i="33" s="1"/>
  <c r="BF19" i="33" s="1"/>
  <c r="BG19" i="33" s="1"/>
  <c r="BH19" i="33" s="1"/>
  <c r="BI19" i="33" s="1"/>
  <c r="X41" i="33"/>
  <c r="Y41" i="33" s="1"/>
  <c r="Z41" i="33" s="1"/>
  <c r="AA41" i="33" s="1"/>
  <c r="AB41" i="33" s="1"/>
  <c r="AC41" i="33" s="1"/>
  <c r="AD41" i="33" s="1"/>
  <c r="AE41" i="33" s="1"/>
  <c r="AF41" i="33" s="1"/>
  <c r="AG41" i="33" s="1"/>
  <c r="AH41" i="33" s="1"/>
  <c r="AI41" i="33" s="1"/>
  <c r="AJ41" i="33" s="1"/>
  <c r="AK41" i="33" s="1"/>
  <c r="AL41" i="33" s="1"/>
  <c r="AM41" i="33" s="1"/>
  <c r="AN41" i="33" s="1"/>
  <c r="AO41" i="33" s="1"/>
  <c r="AP41" i="33" s="1"/>
  <c r="AQ41" i="33" s="1"/>
  <c r="AR41" i="33" s="1"/>
  <c r="AS41" i="33" s="1"/>
  <c r="AT41" i="33" s="1"/>
  <c r="AU41" i="33" s="1"/>
  <c r="AV41" i="33" s="1"/>
  <c r="AW41" i="33" s="1"/>
  <c r="AX41" i="33" s="1"/>
  <c r="AY41" i="33" s="1"/>
  <c r="AZ41" i="33" s="1"/>
  <c r="BA41" i="33" s="1"/>
  <c r="BB41" i="33" s="1"/>
  <c r="BC41" i="33" s="1"/>
  <c r="BD41" i="33" s="1"/>
  <c r="BE41" i="33" s="1"/>
  <c r="BF41" i="33" s="1"/>
  <c r="BG41" i="33" s="1"/>
  <c r="BH41" i="33" s="1"/>
  <c r="BI41" i="33" s="1"/>
  <c r="X18" i="33"/>
  <c r="Y18" i="33" s="1"/>
  <c r="Z18" i="33" s="1"/>
  <c r="AA18" i="33" s="1"/>
  <c r="AB18" i="33" s="1"/>
  <c r="AC18" i="33" s="1"/>
  <c r="AD18" i="33" s="1"/>
  <c r="AE18" i="33" s="1"/>
  <c r="AF18" i="33" s="1"/>
  <c r="AG18" i="33" s="1"/>
  <c r="AH18" i="33" s="1"/>
  <c r="AI18" i="33" s="1"/>
  <c r="AJ18" i="33" s="1"/>
  <c r="AK18" i="33" s="1"/>
  <c r="AL18" i="33" s="1"/>
  <c r="AM18" i="33" s="1"/>
  <c r="AN18" i="33" s="1"/>
  <c r="AO18" i="33" s="1"/>
  <c r="AP18" i="33" s="1"/>
  <c r="AQ18" i="33" s="1"/>
  <c r="AR18" i="33" s="1"/>
  <c r="AS18" i="33" s="1"/>
  <c r="AT18" i="33" s="1"/>
  <c r="AU18" i="33" s="1"/>
  <c r="AV18" i="33" s="1"/>
  <c r="AW18" i="33" s="1"/>
  <c r="AX18" i="33" s="1"/>
  <c r="AY18" i="33" s="1"/>
  <c r="AZ18" i="33" s="1"/>
  <c r="BA18" i="33" s="1"/>
  <c r="BB18" i="33" s="1"/>
  <c r="BC18" i="33" s="1"/>
  <c r="BD18" i="33" s="1"/>
  <c r="BE18" i="33" s="1"/>
  <c r="BF18" i="33" s="1"/>
  <c r="BG18" i="33" s="1"/>
  <c r="BH18" i="33" s="1"/>
  <c r="BI18" i="33" s="1"/>
  <c r="X43" i="33"/>
  <c r="Y43" i="33" s="1"/>
  <c r="Z43" i="33" s="1"/>
  <c r="AA43" i="33" s="1"/>
  <c r="AB43" i="33" s="1"/>
  <c r="AC43" i="33" s="1"/>
  <c r="AD43" i="33" s="1"/>
  <c r="AE43" i="33" s="1"/>
  <c r="AF43" i="33" s="1"/>
  <c r="AG43" i="33" s="1"/>
  <c r="AH43" i="33" s="1"/>
  <c r="AI43" i="33" s="1"/>
  <c r="AJ43" i="33" s="1"/>
  <c r="AK43" i="33" s="1"/>
  <c r="AL43" i="33" s="1"/>
  <c r="AM43" i="33" s="1"/>
  <c r="AN43" i="33" s="1"/>
  <c r="AO43" i="33" s="1"/>
  <c r="AP43" i="33" s="1"/>
  <c r="AQ43" i="33" s="1"/>
  <c r="AR43" i="33" s="1"/>
  <c r="AS43" i="33" s="1"/>
  <c r="AT43" i="33" s="1"/>
  <c r="AU43" i="33" s="1"/>
  <c r="AV43" i="33" s="1"/>
  <c r="AW43" i="33" s="1"/>
  <c r="AX43" i="33" s="1"/>
  <c r="AY43" i="33" s="1"/>
  <c r="AZ43" i="33" s="1"/>
  <c r="BA43" i="33" s="1"/>
  <c r="BB43" i="33" s="1"/>
  <c r="BC43" i="33" s="1"/>
  <c r="BD43" i="33" s="1"/>
  <c r="BE43" i="33" s="1"/>
  <c r="BF43" i="33" s="1"/>
  <c r="BG43" i="33" s="1"/>
  <c r="BH43" i="33" s="1"/>
  <c r="BI43" i="33" s="1"/>
  <c r="BC158" i="13"/>
  <c r="BC161" i="13"/>
  <c r="BC159" i="13"/>
  <c r="BC160" i="13"/>
  <c r="BD180" i="17"/>
  <c r="BD208" i="17" s="1"/>
  <c r="BE178" i="17"/>
  <c r="X15" i="33"/>
  <c r="Y15" i="33" s="1"/>
  <c r="Z15" i="33" s="1"/>
  <c r="AA15" i="33" s="1"/>
  <c r="AB15" i="33" s="1"/>
  <c r="AC15" i="33" s="1"/>
  <c r="AD15" i="33" s="1"/>
  <c r="AE15" i="33" s="1"/>
  <c r="AF15" i="33" s="1"/>
  <c r="AG15" i="33" s="1"/>
  <c r="AH15" i="33" s="1"/>
  <c r="AI15" i="33" s="1"/>
  <c r="AJ15" i="33" s="1"/>
  <c r="AK15" i="33" s="1"/>
  <c r="AL15" i="33" s="1"/>
  <c r="AM15" i="33" s="1"/>
  <c r="AN15" i="33" s="1"/>
  <c r="AO15" i="33" s="1"/>
  <c r="AP15" i="33" s="1"/>
  <c r="AQ15" i="33" s="1"/>
  <c r="AR15" i="33" s="1"/>
  <c r="AS15" i="33" s="1"/>
  <c r="AT15" i="33" s="1"/>
  <c r="AU15" i="33" s="1"/>
  <c r="AV15" i="33" s="1"/>
  <c r="AW15" i="33" s="1"/>
  <c r="AX15" i="33" s="1"/>
  <c r="AY15" i="33" s="1"/>
  <c r="AZ15" i="33" s="1"/>
  <c r="BA15" i="33" s="1"/>
  <c r="BB15" i="33" s="1"/>
  <c r="BC15" i="33" s="1"/>
  <c r="BD15" i="33" s="1"/>
  <c r="BE15" i="33" s="1"/>
  <c r="BF15" i="33" s="1"/>
  <c r="BG15" i="33" s="1"/>
  <c r="BH15" i="33" s="1"/>
  <c r="BI15" i="33" s="1"/>
  <c r="R123" i="19"/>
  <c r="Q123" i="19"/>
  <c r="A202" i="14"/>
  <c r="S251" i="14" s="1"/>
  <c r="A200" i="14"/>
  <c r="R124" i="19"/>
  <c r="Q124" i="19"/>
  <c r="BE179" i="17" l="1"/>
  <c r="BE207" i="17" s="1"/>
  <c r="BE35" i="13"/>
  <c r="BE98" i="13" s="1"/>
  <c r="BD97" i="13"/>
  <c r="BD158" i="13"/>
  <c r="BD161" i="13"/>
  <c r="BD160" i="13"/>
  <c r="BD159" i="13"/>
  <c r="BE180" i="17"/>
  <c r="BE208" i="17" s="1"/>
  <c r="BF178" i="17"/>
  <c r="BF179" i="17" l="1"/>
  <c r="BF207" i="17" s="1"/>
  <c r="BF35" i="13"/>
  <c r="BF98" i="13" s="1"/>
  <c r="BE97" i="13"/>
  <c r="BE158" i="13"/>
  <c r="BE161" i="13"/>
  <c r="BE159" i="13"/>
  <c r="BE160" i="13"/>
  <c r="BF180" i="17"/>
  <c r="BF208" i="17" s="1"/>
  <c r="BG178" i="17"/>
  <c r="W251" i="14"/>
  <c r="BG179" i="17" l="1"/>
  <c r="BG207" i="17" s="1"/>
  <c r="BG35" i="13"/>
  <c r="BG98" i="13" s="1"/>
  <c r="BF97" i="13"/>
  <c r="BF158" i="13"/>
  <c r="BF161" i="13"/>
  <c r="BF159" i="13"/>
  <c r="BF160" i="13"/>
  <c r="BG180" i="17"/>
  <c r="BG208" i="17" s="1"/>
  <c r="BH178" i="17"/>
  <c r="T35" i="32"/>
  <c r="S35" i="32"/>
  <c r="BH179" i="17" l="1"/>
  <c r="BH207" i="17" s="1"/>
  <c r="BH35" i="13"/>
  <c r="BH98" i="13" s="1"/>
  <c r="BG97" i="13"/>
  <c r="BG158" i="13"/>
  <c r="BG161" i="13"/>
  <c r="BG160" i="13"/>
  <c r="BG159" i="13"/>
  <c r="BH180" i="17"/>
  <c r="BH208" i="17" s="1"/>
  <c r="BI178" i="17"/>
  <c r="BI35" i="13" s="1"/>
  <c r="BI98" i="13" s="1"/>
  <c r="C11" i="32"/>
  <c r="A11" i="32"/>
  <c r="C10" i="32"/>
  <c r="C9" i="32"/>
  <c r="C8" i="32"/>
  <c r="C7" i="32"/>
  <c r="C6" i="32"/>
  <c r="A6" i="32"/>
  <c r="C5" i="32"/>
  <c r="A5" i="32"/>
  <c r="Z6" i="32"/>
  <c r="X6" i="32"/>
  <c r="V6" i="32"/>
  <c r="T6" i="32"/>
  <c r="R6" i="32"/>
  <c r="P6" i="32"/>
  <c r="Z5" i="32"/>
  <c r="X5" i="32"/>
  <c r="V5" i="32"/>
  <c r="T5" i="32"/>
  <c r="R5" i="32"/>
  <c r="P5" i="32"/>
  <c r="Z9" i="32"/>
  <c r="X9" i="32"/>
  <c r="V9" i="32"/>
  <c r="T9" i="32"/>
  <c r="R9" i="32"/>
  <c r="P9" i="32"/>
  <c r="Z8" i="32"/>
  <c r="X8" i="32"/>
  <c r="V8" i="32"/>
  <c r="T8" i="32"/>
  <c r="R8" i="32"/>
  <c r="P8" i="32"/>
  <c r="Z7" i="32"/>
  <c r="X7" i="32"/>
  <c r="V7" i="32"/>
  <c r="T7" i="32"/>
  <c r="T10" i="32" s="1"/>
  <c r="R7" i="32"/>
  <c r="P7" i="32"/>
  <c r="A4" i="32"/>
  <c r="U42" i="32"/>
  <c r="V42" i="32" s="1"/>
  <c r="W42" i="32" s="1"/>
  <c r="X42" i="32" s="1"/>
  <c r="Y42" i="32" s="1"/>
  <c r="Z42" i="32" s="1"/>
  <c r="AA42" i="32" s="1"/>
  <c r="AB42" i="32" s="1"/>
  <c r="AC42" i="32" s="1"/>
  <c r="AD42" i="32" s="1"/>
  <c r="AE42" i="32" s="1"/>
  <c r="AF42" i="32" s="1"/>
  <c r="AG42" i="32" s="1"/>
  <c r="AH42" i="32" s="1"/>
  <c r="AI42" i="32" s="1"/>
  <c r="AJ42" i="32" s="1"/>
  <c r="AK42" i="32" s="1"/>
  <c r="AL42" i="32" s="1"/>
  <c r="AM42" i="32" s="1"/>
  <c r="AN42" i="32" s="1"/>
  <c r="AO42" i="32" s="1"/>
  <c r="AP42" i="32" s="1"/>
  <c r="AQ42" i="32" s="1"/>
  <c r="AR42" i="32" s="1"/>
  <c r="AS42" i="32" s="1"/>
  <c r="AT42" i="32" s="1"/>
  <c r="AU42" i="32" s="1"/>
  <c r="AV42" i="32" s="1"/>
  <c r="AW42" i="32" s="1"/>
  <c r="AX42" i="32" s="1"/>
  <c r="AY42" i="32" s="1"/>
  <c r="AZ42" i="32" s="1"/>
  <c r="BA42" i="32" s="1"/>
  <c r="BB42" i="32" s="1"/>
  <c r="BC42" i="32" s="1"/>
  <c r="BD42" i="32" s="1"/>
  <c r="BE42" i="32" s="1"/>
  <c r="BF42" i="32" s="1"/>
  <c r="BG42" i="32" s="1"/>
  <c r="BH42" i="32" s="1"/>
  <c r="BI42" i="32" s="1"/>
  <c r="U34" i="32"/>
  <c r="V34" i="32" s="1"/>
  <c r="W34" i="32" s="1"/>
  <c r="X34" i="32" s="1"/>
  <c r="Y34" i="32" s="1"/>
  <c r="Z34" i="32" s="1"/>
  <c r="AA34" i="32" s="1"/>
  <c r="AB34" i="32" s="1"/>
  <c r="AC34" i="32" s="1"/>
  <c r="AD34" i="32" s="1"/>
  <c r="AE34" i="32" s="1"/>
  <c r="AF34" i="32" s="1"/>
  <c r="AG34" i="32" s="1"/>
  <c r="AH34" i="32" s="1"/>
  <c r="AI34" i="32" s="1"/>
  <c r="AJ34" i="32" s="1"/>
  <c r="AK34" i="32" s="1"/>
  <c r="AL34" i="32" s="1"/>
  <c r="AM34" i="32" s="1"/>
  <c r="AN34" i="32" s="1"/>
  <c r="AO34" i="32" s="1"/>
  <c r="AP34" i="32" s="1"/>
  <c r="AQ34" i="32" s="1"/>
  <c r="AR34" i="32" s="1"/>
  <c r="AS34" i="32" s="1"/>
  <c r="AT34" i="32" s="1"/>
  <c r="AU34" i="32" s="1"/>
  <c r="AV34" i="32" s="1"/>
  <c r="AW34" i="32" s="1"/>
  <c r="AX34" i="32" s="1"/>
  <c r="AY34" i="32" s="1"/>
  <c r="AZ34" i="32" s="1"/>
  <c r="BA34" i="32" s="1"/>
  <c r="BB34" i="32" s="1"/>
  <c r="BC34" i="32" s="1"/>
  <c r="BD34" i="32" s="1"/>
  <c r="BE34" i="32" s="1"/>
  <c r="BF34" i="32" s="1"/>
  <c r="BG34" i="32" s="1"/>
  <c r="BH34" i="32" s="1"/>
  <c r="BI34" i="32" s="1"/>
  <c r="A28" i="32"/>
  <c r="Q27" i="32"/>
  <c r="A24" i="32"/>
  <c r="Q23" i="32"/>
  <c r="A2" i="32"/>
  <c r="Z10" i="31"/>
  <c r="X10" i="31"/>
  <c r="V10" i="31"/>
  <c r="T10" i="31"/>
  <c r="R10" i="31"/>
  <c r="P10" i="31"/>
  <c r="U65" i="31"/>
  <c r="V65" i="31" s="1"/>
  <c r="W65" i="31" s="1"/>
  <c r="X65" i="31" s="1"/>
  <c r="Y65" i="31" s="1"/>
  <c r="Z65" i="31" s="1"/>
  <c r="AA65" i="31" s="1"/>
  <c r="AB65" i="31" s="1"/>
  <c r="AC65" i="31" s="1"/>
  <c r="AD65" i="31" s="1"/>
  <c r="AE65" i="31" s="1"/>
  <c r="AF65" i="31" s="1"/>
  <c r="AG65" i="31" s="1"/>
  <c r="AH65" i="31" s="1"/>
  <c r="AI65" i="31" s="1"/>
  <c r="AJ65" i="31" s="1"/>
  <c r="AK65" i="31" s="1"/>
  <c r="AL65" i="31" s="1"/>
  <c r="AM65" i="31" s="1"/>
  <c r="AN65" i="31" s="1"/>
  <c r="AO65" i="31" s="1"/>
  <c r="AP65" i="31" s="1"/>
  <c r="AQ65" i="31" s="1"/>
  <c r="AR65" i="31" s="1"/>
  <c r="AS65" i="31" s="1"/>
  <c r="AT65" i="31" s="1"/>
  <c r="AU65" i="31" s="1"/>
  <c r="AV65" i="31" s="1"/>
  <c r="AW65" i="31" s="1"/>
  <c r="AX65" i="31" s="1"/>
  <c r="AY65" i="31" s="1"/>
  <c r="AZ65" i="31" s="1"/>
  <c r="BA65" i="31" s="1"/>
  <c r="BB65" i="31" s="1"/>
  <c r="BC65" i="31" s="1"/>
  <c r="BD65" i="31" s="1"/>
  <c r="BE65" i="31" s="1"/>
  <c r="BF65" i="31" s="1"/>
  <c r="BG65" i="31" s="1"/>
  <c r="BH65" i="31" s="1"/>
  <c r="BI65" i="31" s="1"/>
  <c r="Q38" i="31"/>
  <c r="Q34" i="31"/>
  <c r="A39" i="31"/>
  <c r="A35" i="31"/>
  <c r="U53" i="31"/>
  <c r="V53" i="31" s="1"/>
  <c r="W53" i="31" s="1"/>
  <c r="X53" i="31" s="1"/>
  <c r="Y53" i="31" s="1"/>
  <c r="Z53" i="31" s="1"/>
  <c r="AA53" i="31" s="1"/>
  <c r="AB53" i="31" s="1"/>
  <c r="AC53" i="31" s="1"/>
  <c r="AD53" i="31" s="1"/>
  <c r="AE53" i="31" s="1"/>
  <c r="AF53" i="31" s="1"/>
  <c r="AG53" i="31" s="1"/>
  <c r="AH53" i="31" s="1"/>
  <c r="AI53" i="31" s="1"/>
  <c r="AJ53" i="31" s="1"/>
  <c r="AK53" i="31" s="1"/>
  <c r="AL53" i="31" s="1"/>
  <c r="AM53" i="31" s="1"/>
  <c r="AN53" i="31" s="1"/>
  <c r="AO53" i="31" s="1"/>
  <c r="AP53" i="31" s="1"/>
  <c r="AQ53" i="31" s="1"/>
  <c r="AR53" i="31" s="1"/>
  <c r="AS53" i="31" s="1"/>
  <c r="AT53" i="31" s="1"/>
  <c r="AU53" i="31" s="1"/>
  <c r="AV53" i="31" s="1"/>
  <c r="AW53" i="31" s="1"/>
  <c r="AX53" i="31" s="1"/>
  <c r="AY53" i="31" s="1"/>
  <c r="AZ53" i="31" s="1"/>
  <c r="BA53" i="31" s="1"/>
  <c r="BB53" i="31" s="1"/>
  <c r="BC53" i="31" s="1"/>
  <c r="BD53" i="31" s="1"/>
  <c r="BE53" i="31" s="1"/>
  <c r="BF53" i="31" s="1"/>
  <c r="BG53" i="31" s="1"/>
  <c r="BH53" i="31" s="1"/>
  <c r="BI53" i="31" s="1"/>
  <c r="U45" i="31"/>
  <c r="V45" i="31" s="1"/>
  <c r="W45" i="31" s="1"/>
  <c r="X45" i="31" s="1"/>
  <c r="Y45" i="31" s="1"/>
  <c r="Z45" i="31" s="1"/>
  <c r="AA45" i="31" s="1"/>
  <c r="AB45" i="31" s="1"/>
  <c r="AC45" i="31" s="1"/>
  <c r="AD45" i="31" s="1"/>
  <c r="AE45" i="31" s="1"/>
  <c r="AF45" i="31" s="1"/>
  <c r="AG45" i="31" s="1"/>
  <c r="AH45" i="31" s="1"/>
  <c r="AI45" i="31" s="1"/>
  <c r="AJ45" i="31" s="1"/>
  <c r="AK45" i="31" s="1"/>
  <c r="AL45" i="31" s="1"/>
  <c r="AM45" i="31" s="1"/>
  <c r="AN45" i="31" s="1"/>
  <c r="AO45" i="31" s="1"/>
  <c r="AP45" i="31" s="1"/>
  <c r="AQ45" i="31" s="1"/>
  <c r="AR45" i="31" s="1"/>
  <c r="AS45" i="31" s="1"/>
  <c r="AT45" i="31" s="1"/>
  <c r="AU45" i="31" s="1"/>
  <c r="AV45" i="31" s="1"/>
  <c r="AW45" i="31" s="1"/>
  <c r="AX45" i="31" s="1"/>
  <c r="AY45" i="31" s="1"/>
  <c r="AZ45" i="31" s="1"/>
  <c r="BA45" i="31" s="1"/>
  <c r="BB45" i="31" s="1"/>
  <c r="BC45" i="31" s="1"/>
  <c r="BD45" i="31" s="1"/>
  <c r="BE45" i="31" s="1"/>
  <c r="BF45" i="31" s="1"/>
  <c r="BG45" i="31" s="1"/>
  <c r="BH45" i="31" s="1"/>
  <c r="BI45" i="31" s="1"/>
  <c r="A2" i="31"/>
  <c r="V10" i="32" l="1"/>
  <c r="R10" i="32"/>
  <c r="BH97" i="13"/>
  <c r="BI180" i="17"/>
  <c r="BI208" i="17" s="1"/>
  <c r="BI179" i="17"/>
  <c r="BI207" i="17" s="1"/>
  <c r="BH158" i="13"/>
  <c r="BH161" i="13"/>
  <c r="BH160" i="13"/>
  <c r="BH159" i="13"/>
  <c r="P10" i="32"/>
  <c r="Z10" i="32"/>
  <c r="X10" i="32"/>
  <c r="S47" i="32"/>
  <c r="S46" i="32"/>
  <c r="S48" i="32"/>
  <c r="S49" i="32"/>
  <c r="S44" i="32"/>
  <c r="S45" i="32"/>
  <c r="T45" i="32" l="1"/>
  <c r="S52" i="32"/>
  <c r="S59" i="32"/>
  <c r="T47" i="32"/>
  <c r="S54" i="32"/>
  <c r="S61" i="32"/>
  <c r="T46" i="32"/>
  <c r="S53" i="32"/>
  <c r="S60" i="32"/>
  <c r="T44" i="32"/>
  <c r="S58" i="32"/>
  <c r="S51" i="32"/>
  <c r="T49" i="32"/>
  <c r="S63" i="32"/>
  <c r="S56" i="32"/>
  <c r="T48" i="32"/>
  <c r="S62" i="32"/>
  <c r="S55" i="32"/>
  <c r="BI97" i="13"/>
  <c r="BI158" i="13"/>
  <c r="BI161" i="13"/>
  <c r="BI160" i="13"/>
  <c r="BI159" i="13"/>
  <c r="V12" i="30"/>
  <c r="W12" i="30" s="1"/>
  <c r="X12" i="30" s="1"/>
  <c r="Y12" i="30" s="1"/>
  <c r="Z12" i="30" s="1"/>
  <c r="AA12" i="30" s="1"/>
  <c r="AB12" i="30" s="1"/>
  <c r="AC12" i="30" s="1"/>
  <c r="AD12" i="30" s="1"/>
  <c r="AE12" i="30" s="1"/>
  <c r="AF12" i="30" s="1"/>
  <c r="AG12" i="30" s="1"/>
  <c r="AH12" i="30" s="1"/>
  <c r="AI12" i="30" s="1"/>
  <c r="AJ12" i="30" s="1"/>
  <c r="AK12" i="30" s="1"/>
  <c r="AL12" i="30" s="1"/>
  <c r="AM12" i="30" s="1"/>
  <c r="AN12" i="30" s="1"/>
  <c r="AO12" i="30" s="1"/>
  <c r="AP12" i="30" s="1"/>
  <c r="AQ12" i="30" s="1"/>
  <c r="AR12" i="30" s="1"/>
  <c r="AS12" i="30" s="1"/>
  <c r="AT12" i="30" s="1"/>
  <c r="AU12" i="30" s="1"/>
  <c r="AV12" i="30" s="1"/>
  <c r="AW12" i="30" s="1"/>
  <c r="AX12" i="30" s="1"/>
  <c r="AY12" i="30" s="1"/>
  <c r="AZ12" i="30" s="1"/>
  <c r="BA12" i="30" s="1"/>
  <c r="BB12" i="30" s="1"/>
  <c r="BC12" i="30" s="1"/>
  <c r="BD12" i="30" s="1"/>
  <c r="BE12" i="30" s="1"/>
  <c r="BF12" i="30" s="1"/>
  <c r="BG12" i="30" s="1"/>
  <c r="BH12" i="30" s="1"/>
  <c r="BI12" i="30" s="1"/>
  <c r="U48" i="32" l="1"/>
  <c r="T62" i="32"/>
  <c r="T55" i="32"/>
  <c r="U46" i="32"/>
  <c r="T60" i="32"/>
  <c r="T53" i="32"/>
  <c r="U47" i="32"/>
  <c r="T61" i="32"/>
  <c r="T54" i="32"/>
  <c r="U44" i="32"/>
  <c r="T58" i="32"/>
  <c r="T51" i="32"/>
  <c r="U49" i="32"/>
  <c r="T63" i="32"/>
  <c r="T56" i="32"/>
  <c r="U45" i="32"/>
  <c r="T59" i="32"/>
  <c r="T52" i="32"/>
  <c r="V19" i="30"/>
  <c r="W19" i="30" s="1"/>
  <c r="X19" i="30" s="1"/>
  <c r="Y19" i="30" s="1"/>
  <c r="Z19" i="30" s="1"/>
  <c r="AA19" i="30" s="1"/>
  <c r="AB19" i="30" s="1"/>
  <c r="AC19" i="30" s="1"/>
  <c r="AD19" i="30" s="1"/>
  <c r="AE19" i="30" s="1"/>
  <c r="AF19" i="30" s="1"/>
  <c r="AG19" i="30" s="1"/>
  <c r="AH19" i="30" s="1"/>
  <c r="AI19" i="30" s="1"/>
  <c r="AJ19" i="30" s="1"/>
  <c r="AK19" i="30" s="1"/>
  <c r="AL19" i="30" s="1"/>
  <c r="AM19" i="30" s="1"/>
  <c r="AN19" i="30" s="1"/>
  <c r="AO19" i="30" s="1"/>
  <c r="AP19" i="30" s="1"/>
  <c r="AQ19" i="30" s="1"/>
  <c r="AR19" i="30" s="1"/>
  <c r="AS19" i="30" s="1"/>
  <c r="AT19" i="30" s="1"/>
  <c r="AU19" i="30" s="1"/>
  <c r="AV19" i="30" s="1"/>
  <c r="AW19" i="30" s="1"/>
  <c r="AX19" i="30" s="1"/>
  <c r="AY19" i="30" s="1"/>
  <c r="AZ19" i="30" s="1"/>
  <c r="BA19" i="30" s="1"/>
  <c r="BB19" i="30" s="1"/>
  <c r="BC19" i="30" s="1"/>
  <c r="BD19" i="30" s="1"/>
  <c r="BE19" i="30" s="1"/>
  <c r="BF19" i="30" s="1"/>
  <c r="BG19" i="30" s="1"/>
  <c r="BH19" i="30" s="1"/>
  <c r="BI19" i="30" s="1"/>
  <c r="A2" i="30"/>
  <c r="V45" i="32" l="1"/>
  <c r="U59" i="32"/>
  <c r="U52" i="32"/>
  <c r="V46" i="32"/>
  <c r="U60" i="32"/>
  <c r="U53" i="32"/>
  <c r="V47" i="32"/>
  <c r="U61" i="32"/>
  <c r="U54" i="32"/>
  <c r="V44" i="32"/>
  <c r="U58" i="32"/>
  <c r="U51" i="32"/>
  <c r="V49" i="32"/>
  <c r="U63" i="32"/>
  <c r="U56" i="32"/>
  <c r="V48" i="32"/>
  <c r="U62" i="32"/>
  <c r="U55" i="32"/>
  <c r="U13" i="8"/>
  <c r="U16" i="8" s="1"/>
  <c r="W44" i="32" l="1"/>
  <c r="V58" i="32"/>
  <c r="V51" i="32"/>
  <c r="W48" i="32"/>
  <c r="V62" i="32"/>
  <c r="V55" i="32"/>
  <c r="W46" i="32"/>
  <c r="V60" i="32"/>
  <c r="V53" i="32"/>
  <c r="W47" i="32"/>
  <c r="V61" i="32"/>
  <c r="V54" i="32"/>
  <c r="W49" i="32"/>
  <c r="V56" i="32"/>
  <c r="V63" i="32"/>
  <c r="W45" i="32"/>
  <c r="V52" i="32"/>
  <c r="V59" i="32"/>
  <c r="U61" i="8"/>
  <c r="U56" i="8"/>
  <c r="V39" i="22"/>
  <c r="W39" i="22" s="1"/>
  <c r="X39" i="22" s="1"/>
  <c r="Y39" i="22" s="1"/>
  <c r="Z39" i="22" s="1"/>
  <c r="AA39" i="22" s="1"/>
  <c r="AB39" i="22" s="1"/>
  <c r="AC39" i="22" s="1"/>
  <c r="AD39" i="22" s="1"/>
  <c r="AE39" i="22" s="1"/>
  <c r="AF39" i="22" s="1"/>
  <c r="AG39" i="22" s="1"/>
  <c r="AH39" i="22" s="1"/>
  <c r="AI39" i="22" s="1"/>
  <c r="AJ39" i="22" s="1"/>
  <c r="AK39" i="22" s="1"/>
  <c r="AL39" i="22" s="1"/>
  <c r="AM39" i="22" s="1"/>
  <c r="AN39" i="22" s="1"/>
  <c r="AO39" i="22" s="1"/>
  <c r="AP39" i="22" s="1"/>
  <c r="AQ39" i="22" s="1"/>
  <c r="AR39" i="22" s="1"/>
  <c r="AS39" i="22" s="1"/>
  <c r="AT39" i="22" s="1"/>
  <c r="AU39" i="22" s="1"/>
  <c r="AV39" i="22" s="1"/>
  <c r="AW39" i="22" s="1"/>
  <c r="AX39" i="22" s="1"/>
  <c r="AY39" i="22" s="1"/>
  <c r="AZ39" i="22" s="1"/>
  <c r="BA39" i="22" s="1"/>
  <c r="BB39" i="22" s="1"/>
  <c r="BC39" i="22" s="1"/>
  <c r="BD39" i="22" s="1"/>
  <c r="BE39" i="22" s="1"/>
  <c r="BF39" i="22" s="1"/>
  <c r="BG39" i="22" s="1"/>
  <c r="BH39" i="22" s="1"/>
  <c r="BI39" i="22" s="1"/>
  <c r="U39" i="22"/>
  <c r="U222" i="24"/>
  <c r="V222" i="24" s="1"/>
  <c r="W222" i="24" s="1"/>
  <c r="X222" i="24" s="1"/>
  <c r="Y222" i="24" s="1"/>
  <c r="Z222" i="24" s="1"/>
  <c r="AA222" i="24" s="1"/>
  <c r="AB222" i="24" s="1"/>
  <c r="AC222" i="24" s="1"/>
  <c r="AD222" i="24" s="1"/>
  <c r="AE222" i="24" s="1"/>
  <c r="AF222" i="24" s="1"/>
  <c r="AG222" i="24" s="1"/>
  <c r="AH222" i="24" s="1"/>
  <c r="AI222" i="24" s="1"/>
  <c r="AJ222" i="24" s="1"/>
  <c r="AK222" i="24" s="1"/>
  <c r="AL222" i="24" s="1"/>
  <c r="AM222" i="24" s="1"/>
  <c r="AN222" i="24" s="1"/>
  <c r="AO222" i="24" s="1"/>
  <c r="AP222" i="24" s="1"/>
  <c r="AQ222" i="24" s="1"/>
  <c r="AR222" i="24" s="1"/>
  <c r="AS222" i="24" s="1"/>
  <c r="AT222" i="24" s="1"/>
  <c r="AU222" i="24" s="1"/>
  <c r="AV222" i="24" s="1"/>
  <c r="AW222" i="24" s="1"/>
  <c r="AX222" i="24" s="1"/>
  <c r="AY222" i="24" s="1"/>
  <c r="AZ222" i="24" s="1"/>
  <c r="BA222" i="24" s="1"/>
  <c r="BB222" i="24" s="1"/>
  <c r="BC222" i="24" s="1"/>
  <c r="BD222" i="24" s="1"/>
  <c r="BE222" i="24" s="1"/>
  <c r="BF222" i="24" s="1"/>
  <c r="BG222" i="24" s="1"/>
  <c r="BH222" i="24" s="1"/>
  <c r="BI222" i="24" s="1"/>
  <c r="U164" i="24"/>
  <c r="V164" i="24" s="1"/>
  <c r="W164" i="24" s="1"/>
  <c r="X164" i="24" s="1"/>
  <c r="Y164" i="24" s="1"/>
  <c r="Z164" i="24" s="1"/>
  <c r="AA164" i="24" s="1"/>
  <c r="AB164" i="24" s="1"/>
  <c r="AC164" i="24" s="1"/>
  <c r="AD164" i="24" s="1"/>
  <c r="AE164" i="24" s="1"/>
  <c r="AF164" i="24" s="1"/>
  <c r="AG164" i="24" s="1"/>
  <c r="AH164" i="24" s="1"/>
  <c r="AI164" i="24" s="1"/>
  <c r="AJ164" i="24" s="1"/>
  <c r="AK164" i="24" s="1"/>
  <c r="AL164" i="24" s="1"/>
  <c r="AM164" i="24" s="1"/>
  <c r="AN164" i="24" s="1"/>
  <c r="AO164" i="24" s="1"/>
  <c r="AP164" i="24" s="1"/>
  <c r="AQ164" i="24" s="1"/>
  <c r="AR164" i="24" s="1"/>
  <c r="AS164" i="24" s="1"/>
  <c r="AT164" i="24" s="1"/>
  <c r="AU164" i="24" s="1"/>
  <c r="AV164" i="24" s="1"/>
  <c r="AW164" i="24" s="1"/>
  <c r="AX164" i="24" s="1"/>
  <c r="AY164" i="24" s="1"/>
  <c r="AZ164" i="24" s="1"/>
  <c r="BA164" i="24" s="1"/>
  <c r="BB164" i="24" s="1"/>
  <c r="BC164" i="24" s="1"/>
  <c r="BD164" i="24" s="1"/>
  <c r="BE164" i="24" s="1"/>
  <c r="BF164" i="24" s="1"/>
  <c r="BG164" i="24" s="1"/>
  <c r="BH164" i="24" s="1"/>
  <c r="BI164" i="24" s="1"/>
  <c r="U139" i="24"/>
  <c r="V139" i="24" s="1"/>
  <c r="W139" i="24" s="1"/>
  <c r="X139" i="24" s="1"/>
  <c r="Y139" i="24" s="1"/>
  <c r="Z139" i="24" s="1"/>
  <c r="AA139" i="24" s="1"/>
  <c r="AB139" i="24" s="1"/>
  <c r="AC139" i="24" s="1"/>
  <c r="AD139" i="24" s="1"/>
  <c r="AE139" i="24" s="1"/>
  <c r="AF139" i="24" s="1"/>
  <c r="AG139" i="24" s="1"/>
  <c r="AH139" i="24" s="1"/>
  <c r="AI139" i="24" s="1"/>
  <c r="AJ139" i="24" s="1"/>
  <c r="AK139" i="24" s="1"/>
  <c r="AL139" i="24" s="1"/>
  <c r="AM139" i="24" s="1"/>
  <c r="AN139" i="24" s="1"/>
  <c r="AO139" i="24" s="1"/>
  <c r="AP139" i="24" s="1"/>
  <c r="AQ139" i="24" s="1"/>
  <c r="AR139" i="24" s="1"/>
  <c r="AS139" i="24" s="1"/>
  <c r="AT139" i="24" s="1"/>
  <c r="AU139" i="24" s="1"/>
  <c r="AV139" i="24" s="1"/>
  <c r="AW139" i="24" s="1"/>
  <c r="AX139" i="24" s="1"/>
  <c r="AY139" i="24" s="1"/>
  <c r="AZ139" i="24" s="1"/>
  <c r="BA139" i="24" s="1"/>
  <c r="BB139" i="24" s="1"/>
  <c r="BC139" i="24" s="1"/>
  <c r="BD139" i="24" s="1"/>
  <c r="BE139" i="24" s="1"/>
  <c r="BF139" i="24" s="1"/>
  <c r="BG139" i="24" s="1"/>
  <c r="BH139" i="24" s="1"/>
  <c r="BI139" i="24" s="1"/>
  <c r="X46" i="32" l="1"/>
  <c r="W60" i="32"/>
  <c r="W53" i="32"/>
  <c r="X45" i="32"/>
  <c r="W59" i="32"/>
  <c r="W52" i="32"/>
  <c r="X48" i="32"/>
  <c r="W62" i="32"/>
  <c r="W55" i="32"/>
  <c r="X47" i="32"/>
  <c r="W61" i="32"/>
  <c r="W54" i="32"/>
  <c r="X49" i="32"/>
  <c r="W63" i="32"/>
  <c r="W56" i="32"/>
  <c r="X44" i="32"/>
  <c r="W58" i="32"/>
  <c r="W51" i="32"/>
  <c r="U113" i="24"/>
  <c r="V113" i="24" s="1"/>
  <c r="W113" i="24" s="1"/>
  <c r="X113" i="24" s="1"/>
  <c r="Y113" i="24" s="1"/>
  <c r="Z113" i="24" s="1"/>
  <c r="AA113" i="24" s="1"/>
  <c r="AB113" i="24" s="1"/>
  <c r="AC113" i="24" s="1"/>
  <c r="AD113" i="24" s="1"/>
  <c r="AE113" i="24" s="1"/>
  <c r="AF113" i="24" s="1"/>
  <c r="AG113" i="24" s="1"/>
  <c r="AH113" i="24" s="1"/>
  <c r="AI113" i="24" s="1"/>
  <c r="AJ113" i="24" s="1"/>
  <c r="AK113" i="24" s="1"/>
  <c r="AL113" i="24" s="1"/>
  <c r="AM113" i="24" s="1"/>
  <c r="AN113" i="24" s="1"/>
  <c r="AO113" i="24" s="1"/>
  <c r="AP113" i="24" s="1"/>
  <c r="AQ113" i="24" s="1"/>
  <c r="AR113" i="24" s="1"/>
  <c r="AS113" i="24" s="1"/>
  <c r="AT113" i="24" s="1"/>
  <c r="AU113" i="24" s="1"/>
  <c r="AV113" i="24" s="1"/>
  <c r="AW113" i="24" s="1"/>
  <c r="AX113" i="24" s="1"/>
  <c r="AY113" i="24" s="1"/>
  <c r="AZ113" i="24" s="1"/>
  <c r="BA113" i="24" s="1"/>
  <c r="BB113" i="24" s="1"/>
  <c r="BC113" i="24" s="1"/>
  <c r="BD113" i="24" s="1"/>
  <c r="BE113" i="24" s="1"/>
  <c r="BF113" i="24" s="1"/>
  <c r="BG113" i="24" s="1"/>
  <c r="BH113" i="24" s="1"/>
  <c r="BI113" i="24" s="1"/>
  <c r="V121" i="23"/>
  <c r="W121" i="23" s="1"/>
  <c r="X121" i="23" s="1"/>
  <c r="Y121" i="23" s="1"/>
  <c r="Z121" i="23" s="1"/>
  <c r="AA121" i="23" s="1"/>
  <c r="AB121" i="23" s="1"/>
  <c r="AC121" i="23" s="1"/>
  <c r="AD121" i="23" s="1"/>
  <c r="AE121" i="23" s="1"/>
  <c r="AF121" i="23" s="1"/>
  <c r="AG121" i="23" s="1"/>
  <c r="AH121" i="23" s="1"/>
  <c r="AI121" i="23" s="1"/>
  <c r="AJ121" i="23" s="1"/>
  <c r="AK121" i="23" s="1"/>
  <c r="AL121" i="23" s="1"/>
  <c r="AM121" i="23" s="1"/>
  <c r="AN121" i="23" s="1"/>
  <c r="AO121" i="23" s="1"/>
  <c r="AP121" i="23" s="1"/>
  <c r="AQ121" i="23" s="1"/>
  <c r="AR121" i="23" s="1"/>
  <c r="AS121" i="23" s="1"/>
  <c r="AT121" i="23" s="1"/>
  <c r="AU121" i="23" s="1"/>
  <c r="AV121" i="23" s="1"/>
  <c r="AW121" i="23" s="1"/>
  <c r="AX121" i="23" s="1"/>
  <c r="AY121" i="23" s="1"/>
  <c r="AZ121" i="23" s="1"/>
  <c r="BA121" i="23" s="1"/>
  <c r="BB121" i="23" s="1"/>
  <c r="BC121" i="23" s="1"/>
  <c r="BD121" i="23" s="1"/>
  <c r="BE121" i="23" s="1"/>
  <c r="BF121" i="23" s="1"/>
  <c r="BG121" i="23" s="1"/>
  <c r="BH121" i="23" s="1"/>
  <c r="BI121" i="23" s="1"/>
  <c r="U121" i="23"/>
  <c r="U105" i="23"/>
  <c r="V105" i="23" s="1"/>
  <c r="W105" i="23" s="1"/>
  <c r="X105" i="23" s="1"/>
  <c r="Y105" i="23" s="1"/>
  <c r="Z105" i="23" s="1"/>
  <c r="AA105" i="23" s="1"/>
  <c r="AB105" i="23" s="1"/>
  <c r="AC105" i="23" s="1"/>
  <c r="AD105" i="23" s="1"/>
  <c r="AE105" i="23" s="1"/>
  <c r="AF105" i="23" s="1"/>
  <c r="AG105" i="23" s="1"/>
  <c r="AH105" i="23" s="1"/>
  <c r="AI105" i="23" s="1"/>
  <c r="AJ105" i="23" s="1"/>
  <c r="AK105" i="23" s="1"/>
  <c r="AL105" i="23" s="1"/>
  <c r="AM105" i="23" s="1"/>
  <c r="AN105" i="23" s="1"/>
  <c r="AO105" i="23" s="1"/>
  <c r="AP105" i="23" s="1"/>
  <c r="AQ105" i="23" s="1"/>
  <c r="AR105" i="23" s="1"/>
  <c r="AS105" i="23" s="1"/>
  <c r="AT105" i="23" s="1"/>
  <c r="AU105" i="23" s="1"/>
  <c r="AV105" i="23" s="1"/>
  <c r="AW105" i="23" s="1"/>
  <c r="AX105" i="23" s="1"/>
  <c r="AY105" i="23" s="1"/>
  <c r="AZ105" i="23" s="1"/>
  <c r="BA105" i="23" s="1"/>
  <c r="BB105" i="23" s="1"/>
  <c r="BC105" i="23" s="1"/>
  <c r="BD105" i="23" s="1"/>
  <c r="BE105" i="23" s="1"/>
  <c r="BF105" i="23" s="1"/>
  <c r="BG105" i="23" s="1"/>
  <c r="BH105" i="23" s="1"/>
  <c r="BI105" i="23" s="1"/>
  <c r="U100" i="23"/>
  <c r="V100" i="23" s="1"/>
  <c r="W100" i="23" s="1"/>
  <c r="X100" i="23" s="1"/>
  <c r="Y100" i="23" s="1"/>
  <c r="Z100" i="23" s="1"/>
  <c r="AA100" i="23" s="1"/>
  <c r="AB100" i="23" s="1"/>
  <c r="AC100" i="23" s="1"/>
  <c r="AD100" i="23" s="1"/>
  <c r="AE100" i="23" s="1"/>
  <c r="AF100" i="23" s="1"/>
  <c r="AG100" i="23" s="1"/>
  <c r="AH100" i="23" s="1"/>
  <c r="AI100" i="23" s="1"/>
  <c r="AJ100" i="23" s="1"/>
  <c r="AK100" i="23" s="1"/>
  <c r="AL100" i="23" s="1"/>
  <c r="AM100" i="23" s="1"/>
  <c r="AN100" i="23" s="1"/>
  <c r="AO100" i="23" s="1"/>
  <c r="AP100" i="23" s="1"/>
  <c r="AQ100" i="23" s="1"/>
  <c r="AR100" i="23" s="1"/>
  <c r="AS100" i="23" s="1"/>
  <c r="AT100" i="23" s="1"/>
  <c r="AU100" i="23" s="1"/>
  <c r="AV100" i="23" s="1"/>
  <c r="AW100" i="23" s="1"/>
  <c r="AX100" i="23" s="1"/>
  <c r="AY100" i="23" s="1"/>
  <c r="AZ100" i="23" s="1"/>
  <c r="BA100" i="23" s="1"/>
  <c r="BB100" i="23" s="1"/>
  <c r="BC100" i="23" s="1"/>
  <c r="BD100" i="23" s="1"/>
  <c r="BE100" i="23" s="1"/>
  <c r="BF100" i="23" s="1"/>
  <c r="BG100" i="23" s="1"/>
  <c r="BH100" i="23" s="1"/>
  <c r="BI100" i="23" s="1"/>
  <c r="U51" i="16"/>
  <c r="V51" i="16" s="1"/>
  <c r="W51" i="16" s="1"/>
  <c r="X51" i="16" s="1"/>
  <c r="Y51" i="16" s="1"/>
  <c r="Z51" i="16" s="1"/>
  <c r="AA51" i="16" s="1"/>
  <c r="AB51" i="16" s="1"/>
  <c r="AC51" i="16" s="1"/>
  <c r="AD51" i="16" s="1"/>
  <c r="AE51" i="16" s="1"/>
  <c r="AF51" i="16" s="1"/>
  <c r="AG51" i="16" s="1"/>
  <c r="AH51" i="16" s="1"/>
  <c r="AI51" i="16" s="1"/>
  <c r="AJ51" i="16" s="1"/>
  <c r="AK51" i="16" s="1"/>
  <c r="AL51" i="16" s="1"/>
  <c r="AM51" i="16" s="1"/>
  <c r="AN51" i="16" s="1"/>
  <c r="AO51" i="16" s="1"/>
  <c r="AP51" i="16" s="1"/>
  <c r="AQ51" i="16" s="1"/>
  <c r="AR51" i="16" s="1"/>
  <c r="AS51" i="16" s="1"/>
  <c r="AT51" i="16" s="1"/>
  <c r="AU51" i="16" s="1"/>
  <c r="AV51" i="16" s="1"/>
  <c r="AW51" i="16" s="1"/>
  <c r="AX51" i="16" s="1"/>
  <c r="AY51" i="16" s="1"/>
  <c r="AZ51" i="16" s="1"/>
  <c r="BA51" i="16" s="1"/>
  <c r="BB51" i="16" s="1"/>
  <c r="BC51" i="16" s="1"/>
  <c r="BD51" i="16" s="1"/>
  <c r="BE51" i="16" s="1"/>
  <c r="BF51" i="16" s="1"/>
  <c r="BG51" i="16" s="1"/>
  <c r="BH51" i="16" s="1"/>
  <c r="BI51" i="16" s="1"/>
  <c r="W86" i="26"/>
  <c r="X86" i="26" s="1"/>
  <c r="Y86" i="26" s="1"/>
  <c r="Z86" i="26" s="1"/>
  <c r="AA86" i="26" s="1"/>
  <c r="AB86" i="26" s="1"/>
  <c r="AC86" i="26" s="1"/>
  <c r="AD86" i="26" s="1"/>
  <c r="AE86" i="26" s="1"/>
  <c r="AF86" i="26" s="1"/>
  <c r="AG86" i="26" s="1"/>
  <c r="AH86" i="26" s="1"/>
  <c r="AI86" i="26" s="1"/>
  <c r="AJ86" i="26" s="1"/>
  <c r="AK86" i="26" s="1"/>
  <c r="AL86" i="26" s="1"/>
  <c r="AM86" i="26" s="1"/>
  <c r="AN86" i="26" s="1"/>
  <c r="AO86" i="26" s="1"/>
  <c r="AP86" i="26" s="1"/>
  <c r="AQ86" i="26" s="1"/>
  <c r="AR86" i="26" s="1"/>
  <c r="AS86" i="26" s="1"/>
  <c r="AT86" i="26" s="1"/>
  <c r="AU86" i="26" s="1"/>
  <c r="AV86" i="26" s="1"/>
  <c r="AW86" i="26" s="1"/>
  <c r="AX86" i="26" s="1"/>
  <c r="AY86" i="26" s="1"/>
  <c r="AZ86" i="26" s="1"/>
  <c r="BA86" i="26" s="1"/>
  <c r="BB86" i="26" s="1"/>
  <c r="BC86" i="26" s="1"/>
  <c r="BD86" i="26" s="1"/>
  <c r="BE86" i="26" s="1"/>
  <c r="BF86" i="26" s="1"/>
  <c r="BG86" i="26" s="1"/>
  <c r="BH86" i="26" s="1"/>
  <c r="BI86" i="26" s="1"/>
  <c r="W133" i="19"/>
  <c r="X133" i="19" s="1"/>
  <c r="Y133" i="19" s="1"/>
  <c r="Z133" i="19" s="1"/>
  <c r="AA133" i="19" s="1"/>
  <c r="AB133" i="19" s="1"/>
  <c r="AC133" i="19" s="1"/>
  <c r="AD133" i="19" s="1"/>
  <c r="AE133" i="19" s="1"/>
  <c r="AF133" i="19" s="1"/>
  <c r="AG133" i="19" s="1"/>
  <c r="AH133" i="19" s="1"/>
  <c r="AI133" i="19" s="1"/>
  <c r="AJ133" i="19" s="1"/>
  <c r="AK133" i="19" s="1"/>
  <c r="AL133" i="19" s="1"/>
  <c r="AM133" i="19" s="1"/>
  <c r="AN133" i="19" s="1"/>
  <c r="AO133" i="19" s="1"/>
  <c r="AP133" i="19" s="1"/>
  <c r="AQ133" i="19" s="1"/>
  <c r="AR133" i="19" s="1"/>
  <c r="AS133" i="19" s="1"/>
  <c r="AT133" i="19" s="1"/>
  <c r="AU133" i="19" s="1"/>
  <c r="AV133" i="19" s="1"/>
  <c r="AW133" i="19" s="1"/>
  <c r="AX133" i="19" s="1"/>
  <c r="AY133" i="19" s="1"/>
  <c r="AZ133" i="19" s="1"/>
  <c r="BA133" i="19" s="1"/>
  <c r="BB133" i="19" s="1"/>
  <c r="BC133" i="19" s="1"/>
  <c r="BD133" i="19" s="1"/>
  <c r="BE133" i="19" s="1"/>
  <c r="BF133" i="19" s="1"/>
  <c r="BG133" i="19" s="1"/>
  <c r="BH133" i="19" s="1"/>
  <c r="BI133" i="19" s="1"/>
  <c r="U120" i="13"/>
  <c r="V120" i="13" s="1"/>
  <c r="W120" i="13" s="1"/>
  <c r="X120" i="13" s="1"/>
  <c r="Y120" i="13" s="1"/>
  <c r="Z120" i="13" s="1"/>
  <c r="AA120" i="13" s="1"/>
  <c r="AB120" i="13" s="1"/>
  <c r="AC120" i="13" s="1"/>
  <c r="AD120" i="13" s="1"/>
  <c r="AE120" i="13" s="1"/>
  <c r="AF120" i="13" s="1"/>
  <c r="AG120" i="13" s="1"/>
  <c r="AH120" i="13" s="1"/>
  <c r="AI120" i="13" s="1"/>
  <c r="AJ120" i="13" s="1"/>
  <c r="AK120" i="13" s="1"/>
  <c r="AL120" i="13" s="1"/>
  <c r="AM120" i="13" s="1"/>
  <c r="AN120" i="13" s="1"/>
  <c r="AO120" i="13" s="1"/>
  <c r="AP120" i="13" s="1"/>
  <c r="AQ120" i="13" s="1"/>
  <c r="AR120" i="13" s="1"/>
  <c r="AS120" i="13" s="1"/>
  <c r="AT120" i="13" s="1"/>
  <c r="AU120" i="13" s="1"/>
  <c r="AV120" i="13" s="1"/>
  <c r="AW120" i="13" s="1"/>
  <c r="AX120" i="13" s="1"/>
  <c r="AY120" i="13" s="1"/>
  <c r="AZ120" i="13" s="1"/>
  <c r="BA120" i="13" s="1"/>
  <c r="BB120" i="13" s="1"/>
  <c r="BC120" i="13" s="1"/>
  <c r="BD120" i="13" s="1"/>
  <c r="BE120" i="13" s="1"/>
  <c r="BF120" i="13" s="1"/>
  <c r="BG120" i="13" s="1"/>
  <c r="BH120" i="13" s="1"/>
  <c r="BI120" i="13" s="1"/>
  <c r="U114" i="13"/>
  <c r="V114" i="13" s="1"/>
  <c r="W114" i="13" s="1"/>
  <c r="X114" i="13" s="1"/>
  <c r="Y114" i="13" s="1"/>
  <c r="Z114" i="13" s="1"/>
  <c r="AA114" i="13" s="1"/>
  <c r="AB114" i="13" s="1"/>
  <c r="AC114" i="13" s="1"/>
  <c r="AD114" i="13" s="1"/>
  <c r="AE114" i="13" s="1"/>
  <c r="AF114" i="13" s="1"/>
  <c r="AG114" i="13" s="1"/>
  <c r="AH114" i="13" s="1"/>
  <c r="AI114" i="13" s="1"/>
  <c r="AJ114" i="13" s="1"/>
  <c r="AK114" i="13" s="1"/>
  <c r="AL114" i="13" s="1"/>
  <c r="AM114" i="13" s="1"/>
  <c r="AN114" i="13" s="1"/>
  <c r="AO114" i="13" s="1"/>
  <c r="AP114" i="13" s="1"/>
  <c r="AQ114" i="13" s="1"/>
  <c r="AR114" i="13" s="1"/>
  <c r="AS114" i="13" s="1"/>
  <c r="AT114" i="13" s="1"/>
  <c r="AU114" i="13" s="1"/>
  <c r="AV114" i="13" s="1"/>
  <c r="AW114" i="13" s="1"/>
  <c r="AX114" i="13" s="1"/>
  <c r="AY114" i="13" s="1"/>
  <c r="AZ114" i="13" s="1"/>
  <c r="BA114" i="13" s="1"/>
  <c r="BB114" i="13" s="1"/>
  <c r="BC114" i="13" s="1"/>
  <c r="BD114" i="13" s="1"/>
  <c r="BE114" i="13" s="1"/>
  <c r="BF114" i="13" s="1"/>
  <c r="BG114" i="13" s="1"/>
  <c r="BH114" i="13" s="1"/>
  <c r="BI114" i="13" s="1"/>
  <c r="U108" i="13"/>
  <c r="V108" i="13" s="1"/>
  <c r="W108" i="13" s="1"/>
  <c r="X108" i="13" s="1"/>
  <c r="Y108" i="13" s="1"/>
  <c r="Z108" i="13" s="1"/>
  <c r="AA108" i="13" s="1"/>
  <c r="AB108" i="13" s="1"/>
  <c r="AC108" i="13" s="1"/>
  <c r="AD108" i="13" s="1"/>
  <c r="AE108" i="13" s="1"/>
  <c r="AF108" i="13" s="1"/>
  <c r="AG108" i="13" s="1"/>
  <c r="AH108" i="13" s="1"/>
  <c r="AI108" i="13" s="1"/>
  <c r="AJ108" i="13" s="1"/>
  <c r="AK108" i="13" s="1"/>
  <c r="AL108" i="13" s="1"/>
  <c r="AM108" i="13" s="1"/>
  <c r="AN108" i="13" s="1"/>
  <c r="AO108" i="13" s="1"/>
  <c r="AP108" i="13" s="1"/>
  <c r="AQ108" i="13" s="1"/>
  <c r="AR108" i="13" s="1"/>
  <c r="AS108" i="13" s="1"/>
  <c r="AT108" i="13" s="1"/>
  <c r="AU108" i="13" s="1"/>
  <c r="AV108" i="13" s="1"/>
  <c r="AW108" i="13" s="1"/>
  <c r="AX108" i="13" s="1"/>
  <c r="AY108" i="13" s="1"/>
  <c r="AZ108" i="13" s="1"/>
  <c r="BA108" i="13" s="1"/>
  <c r="BB108" i="13" s="1"/>
  <c r="BC108" i="13" s="1"/>
  <c r="BD108" i="13" s="1"/>
  <c r="BE108" i="13" s="1"/>
  <c r="BF108" i="13" s="1"/>
  <c r="BG108" i="13" s="1"/>
  <c r="BH108" i="13" s="1"/>
  <c r="BI108" i="13" s="1"/>
  <c r="U102" i="13"/>
  <c r="V102" i="13" s="1"/>
  <c r="W102" i="13" s="1"/>
  <c r="X102" i="13" s="1"/>
  <c r="Y102" i="13" s="1"/>
  <c r="Z102" i="13" s="1"/>
  <c r="AA102" i="13" s="1"/>
  <c r="AB102" i="13" s="1"/>
  <c r="AC102" i="13" s="1"/>
  <c r="AD102" i="13" s="1"/>
  <c r="AE102" i="13" s="1"/>
  <c r="AF102" i="13" s="1"/>
  <c r="AG102" i="13" s="1"/>
  <c r="AH102" i="13" s="1"/>
  <c r="AI102" i="13" s="1"/>
  <c r="AJ102" i="13" s="1"/>
  <c r="AK102" i="13" s="1"/>
  <c r="AL102" i="13" s="1"/>
  <c r="AM102" i="13" s="1"/>
  <c r="AN102" i="13" s="1"/>
  <c r="AO102" i="13" s="1"/>
  <c r="AP102" i="13" s="1"/>
  <c r="AQ102" i="13" s="1"/>
  <c r="AR102" i="13" s="1"/>
  <c r="AS102" i="13" s="1"/>
  <c r="AT102" i="13" s="1"/>
  <c r="AU102" i="13" s="1"/>
  <c r="AV102" i="13" s="1"/>
  <c r="AW102" i="13" s="1"/>
  <c r="AX102" i="13" s="1"/>
  <c r="AY102" i="13" s="1"/>
  <c r="AZ102" i="13" s="1"/>
  <c r="BA102" i="13" s="1"/>
  <c r="BB102" i="13" s="1"/>
  <c r="BC102" i="13" s="1"/>
  <c r="BD102" i="13" s="1"/>
  <c r="BE102" i="13" s="1"/>
  <c r="BF102" i="13" s="1"/>
  <c r="BG102" i="13" s="1"/>
  <c r="BH102" i="13" s="1"/>
  <c r="BI102" i="13" s="1"/>
  <c r="U5" i="13"/>
  <c r="V5" i="13" s="1"/>
  <c r="W5" i="13" s="1"/>
  <c r="X5" i="13" s="1"/>
  <c r="Y5" i="13" s="1"/>
  <c r="Z5" i="13" s="1"/>
  <c r="AA5" i="13" s="1"/>
  <c r="AB5" i="13" s="1"/>
  <c r="AC5" i="13" s="1"/>
  <c r="AD5" i="13" s="1"/>
  <c r="AE5" i="13" s="1"/>
  <c r="AF5" i="13" s="1"/>
  <c r="AG5" i="13" s="1"/>
  <c r="AH5" i="13" s="1"/>
  <c r="AI5" i="13" s="1"/>
  <c r="AJ5" i="13" s="1"/>
  <c r="AK5" i="13" s="1"/>
  <c r="AL5" i="13" s="1"/>
  <c r="AM5" i="13" s="1"/>
  <c r="AN5" i="13" s="1"/>
  <c r="AO5" i="13" s="1"/>
  <c r="AP5" i="13" s="1"/>
  <c r="AQ5" i="13" s="1"/>
  <c r="AR5" i="13" s="1"/>
  <c r="AS5" i="13" s="1"/>
  <c r="AT5" i="13" s="1"/>
  <c r="AU5" i="13" s="1"/>
  <c r="AV5" i="13" s="1"/>
  <c r="AW5" i="13" s="1"/>
  <c r="AX5" i="13" s="1"/>
  <c r="AY5" i="13" s="1"/>
  <c r="AZ5" i="13" s="1"/>
  <c r="BA5" i="13" s="1"/>
  <c r="BB5" i="13" s="1"/>
  <c r="BC5" i="13" s="1"/>
  <c r="BD5" i="13" s="1"/>
  <c r="BE5" i="13" s="1"/>
  <c r="BF5" i="13" s="1"/>
  <c r="BG5" i="13" s="1"/>
  <c r="BH5" i="13" s="1"/>
  <c r="BI5" i="13" s="1"/>
  <c r="U97" i="17"/>
  <c r="V97" i="17" s="1"/>
  <c r="W97" i="17" s="1"/>
  <c r="X97" i="17" s="1"/>
  <c r="Y97" i="17" s="1"/>
  <c r="Z97" i="17" s="1"/>
  <c r="AA97" i="17" s="1"/>
  <c r="AB97" i="17" s="1"/>
  <c r="AC97" i="17" s="1"/>
  <c r="AD97" i="17" s="1"/>
  <c r="AE97" i="17" s="1"/>
  <c r="AF97" i="17" s="1"/>
  <c r="AG97" i="17" s="1"/>
  <c r="AH97" i="17" s="1"/>
  <c r="AI97" i="17" s="1"/>
  <c r="AJ97" i="17" s="1"/>
  <c r="AK97" i="17" s="1"/>
  <c r="AL97" i="17" s="1"/>
  <c r="AM97" i="17" s="1"/>
  <c r="AN97" i="17" s="1"/>
  <c r="AO97" i="17" s="1"/>
  <c r="AP97" i="17" s="1"/>
  <c r="AQ97" i="17" s="1"/>
  <c r="AR97" i="17" s="1"/>
  <c r="AS97" i="17" s="1"/>
  <c r="AT97" i="17" s="1"/>
  <c r="AU97" i="17" s="1"/>
  <c r="AV97" i="17" s="1"/>
  <c r="AW97" i="17" s="1"/>
  <c r="AX97" i="17" s="1"/>
  <c r="AY97" i="17" s="1"/>
  <c r="AZ97" i="17" s="1"/>
  <c r="BA97" i="17" s="1"/>
  <c r="BB97" i="17" s="1"/>
  <c r="BC97" i="17" s="1"/>
  <c r="BD97" i="17" s="1"/>
  <c r="BE97" i="17" s="1"/>
  <c r="BF97" i="17" s="1"/>
  <c r="BG97" i="17" s="1"/>
  <c r="BH97" i="17" s="1"/>
  <c r="BI97" i="17" s="1"/>
  <c r="U235" i="17"/>
  <c r="V235" i="17" s="1"/>
  <c r="W235" i="17" s="1"/>
  <c r="X235" i="17" s="1"/>
  <c r="Y235" i="17" s="1"/>
  <c r="Z235" i="17" s="1"/>
  <c r="AA235" i="17" s="1"/>
  <c r="AB235" i="17" s="1"/>
  <c r="AC235" i="17" s="1"/>
  <c r="AD235" i="17" s="1"/>
  <c r="AE235" i="17" s="1"/>
  <c r="AF235" i="17" s="1"/>
  <c r="AG235" i="17" s="1"/>
  <c r="AH235" i="17" s="1"/>
  <c r="AI235" i="17" s="1"/>
  <c r="AJ235" i="17" s="1"/>
  <c r="AK235" i="17" s="1"/>
  <c r="AL235" i="17" s="1"/>
  <c r="AM235" i="17" s="1"/>
  <c r="AN235" i="17" s="1"/>
  <c r="AO235" i="17" s="1"/>
  <c r="AP235" i="17" s="1"/>
  <c r="AQ235" i="17" s="1"/>
  <c r="AR235" i="17" s="1"/>
  <c r="AS235" i="17" s="1"/>
  <c r="AT235" i="17" s="1"/>
  <c r="AU235" i="17" s="1"/>
  <c r="AV235" i="17" s="1"/>
  <c r="AW235" i="17" s="1"/>
  <c r="AX235" i="17" s="1"/>
  <c r="AY235" i="17" s="1"/>
  <c r="AZ235" i="17" s="1"/>
  <c r="BA235" i="17" s="1"/>
  <c r="BB235" i="17" s="1"/>
  <c r="BC235" i="17" s="1"/>
  <c r="BD235" i="17" s="1"/>
  <c r="BE235" i="17" s="1"/>
  <c r="BF235" i="17" s="1"/>
  <c r="BG235" i="17" s="1"/>
  <c r="BH235" i="17" s="1"/>
  <c r="BI235" i="17" s="1"/>
  <c r="U114" i="17"/>
  <c r="V114" i="17" s="1"/>
  <c r="W114" i="17" s="1"/>
  <c r="X114" i="17" s="1"/>
  <c r="Y114" i="17" s="1"/>
  <c r="Z114" i="17" s="1"/>
  <c r="AA114" i="17" s="1"/>
  <c r="AB114" i="17" s="1"/>
  <c r="AC114" i="17" s="1"/>
  <c r="AD114" i="17" s="1"/>
  <c r="AE114" i="17" s="1"/>
  <c r="AF114" i="17" s="1"/>
  <c r="AG114" i="17" s="1"/>
  <c r="AH114" i="17" s="1"/>
  <c r="AI114" i="17" s="1"/>
  <c r="AJ114" i="17" s="1"/>
  <c r="AK114" i="17" s="1"/>
  <c r="AL114" i="17" s="1"/>
  <c r="AM114" i="17" s="1"/>
  <c r="AN114" i="17" s="1"/>
  <c r="AO114" i="17" s="1"/>
  <c r="AP114" i="17" s="1"/>
  <c r="AQ114" i="17" s="1"/>
  <c r="AR114" i="17" s="1"/>
  <c r="AS114" i="17" s="1"/>
  <c r="AT114" i="17" s="1"/>
  <c r="AU114" i="17" s="1"/>
  <c r="AV114" i="17" s="1"/>
  <c r="AW114" i="17" s="1"/>
  <c r="AX114" i="17" s="1"/>
  <c r="AY114" i="17" s="1"/>
  <c r="AZ114" i="17" s="1"/>
  <c r="BA114" i="17" s="1"/>
  <c r="BB114" i="17" s="1"/>
  <c r="BC114" i="17" s="1"/>
  <c r="BD114" i="17" s="1"/>
  <c r="BE114" i="17" s="1"/>
  <c r="BF114" i="17" s="1"/>
  <c r="BG114" i="17" s="1"/>
  <c r="BH114" i="17" s="1"/>
  <c r="BI114" i="17" s="1"/>
  <c r="U284" i="14"/>
  <c r="V284" i="14" s="1"/>
  <c r="W284" i="14" s="1"/>
  <c r="X284" i="14" s="1"/>
  <c r="Y284" i="14" s="1"/>
  <c r="Z284" i="14" s="1"/>
  <c r="AA284" i="14" s="1"/>
  <c r="AB284" i="14" s="1"/>
  <c r="AC284" i="14" s="1"/>
  <c r="AD284" i="14" s="1"/>
  <c r="AE284" i="14" s="1"/>
  <c r="AF284" i="14" s="1"/>
  <c r="AG284" i="14" s="1"/>
  <c r="AH284" i="14" s="1"/>
  <c r="AI284" i="14" s="1"/>
  <c r="AJ284" i="14" s="1"/>
  <c r="AK284" i="14" s="1"/>
  <c r="AL284" i="14" s="1"/>
  <c r="AM284" i="14" s="1"/>
  <c r="AN284" i="14" s="1"/>
  <c r="AO284" i="14" s="1"/>
  <c r="AP284" i="14" s="1"/>
  <c r="AQ284" i="14" s="1"/>
  <c r="AR284" i="14" s="1"/>
  <c r="AS284" i="14" s="1"/>
  <c r="AT284" i="14" s="1"/>
  <c r="AU284" i="14" s="1"/>
  <c r="AV284" i="14" s="1"/>
  <c r="AW284" i="14" s="1"/>
  <c r="AX284" i="14" s="1"/>
  <c r="AY284" i="14" s="1"/>
  <c r="AZ284" i="14" s="1"/>
  <c r="BA284" i="14" s="1"/>
  <c r="BB284" i="14" s="1"/>
  <c r="BC284" i="14" s="1"/>
  <c r="BD284" i="14" s="1"/>
  <c r="BE284" i="14" s="1"/>
  <c r="BF284" i="14" s="1"/>
  <c r="BG284" i="14" s="1"/>
  <c r="BH284" i="14" s="1"/>
  <c r="BI284" i="14" s="1"/>
  <c r="U226" i="14"/>
  <c r="V226" i="14" s="1"/>
  <c r="W226" i="14" s="1"/>
  <c r="X226" i="14" s="1"/>
  <c r="Y226" i="14" s="1"/>
  <c r="Z226" i="14" s="1"/>
  <c r="AA226" i="14" s="1"/>
  <c r="AB226" i="14" s="1"/>
  <c r="AC226" i="14" s="1"/>
  <c r="AD226" i="14" s="1"/>
  <c r="AE226" i="14" s="1"/>
  <c r="AF226" i="14" s="1"/>
  <c r="AG226" i="14" s="1"/>
  <c r="AH226" i="14" s="1"/>
  <c r="AI226" i="14" s="1"/>
  <c r="AJ226" i="14" s="1"/>
  <c r="AK226" i="14" s="1"/>
  <c r="AL226" i="14" s="1"/>
  <c r="AM226" i="14" s="1"/>
  <c r="AN226" i="14" s="1"/>
  <c r="AO226" i="14" s="1"/>
  <c r="AP226" i="14" s="1"/>
  <c r="AQ226" i="14" s="1"/>
  <c r="AR226" i="14" s="1"/>
  <c r="AS226" i="14" s="1"/>
  <c r="AT226" i="14" s="1"/>
  <c r="AU226" i="14" s="1"/>
  <c r="AV226" i="14" s="1"/>
  <c r="AW226" i="14" s="1"/>
  <c r="AX226" i="14" s="1"/>
  <c r="AY226" i="14" s="1"/>
  <c r="AZ226" i="14" s="1"/>
  <c r="BA226" i="14" s="1"/>
  <c r="BB226" i="14" s="1"/>
  <c r="BC226" i="14" s="1"/>
  <c r="BD226" i="14" s="1"/>
  <c r="BE226" i="14" s="1"/>
  <c r="BF226" i="14" s="1"/>
  <c r="BG226" i="14" s="1"/>
  <c r="BH226" i="14" s="1"/>
  <c r="BI226" i="14" s="1"/>
  <c r="Y45" i="32" l="1"/>
  <c r="X59" i="32"/>
  <c r="X52" i="32"/>
  <c r="Y47" i="32"/>
  <c r="X61" i="32"/>
  <c r="X54" i="32"/>
  <c r="Y44" i="32"/>
  <c r="X58" i="32"/>
  <c r="X51" i="32"/>
  <c r="Y48" i="32"/>
  <c r="X55" i="32"/>
  <c r="X62" i="32"/>
  <c r="Y49" i="32"/>
  <c r="X63" i="32"/>
  <c r="X56" i="32"/>
  <c r="Y46" i="32"/>
  <c r="X60" i="32"/>
  <c r="X53" i="32"/>
  <c r="B98" i="24"/>
  <c r="Z46" i="32" l="1"/>
  <c r="Y60" i="32"/>
  <c r="Y53" i="32"/>
  <c r="Z47" i="32"/>
  <c r="Y61" i="32"/>
  <c r="Y54" i="32"/>
  <c r="Z44" i="32"/>
  <c r="Y58" i="32"/>
  <c r="Y51" i="32"/>
  <c r="Z48" i="32"/>
  <c r="Y62" i="32"/>
  <c r="Y55" i="32"/>
  <c r="Z49" i="32"/>
  <c r="Y63" i="32"/>
  <c r="Y56" i="32"/>
  <c r="Z45" i="32"/>
  <c r="Y59" i="32"/>
  <c r="Y52" i="32"/>
  <c r="AA47" i="32" l="1"/>
  <c r="Z61" i="32"/>
  <c r="Z54" i="32"/>
  <c r="AA44" i="32"/>
  <c r="Z58" i="32"/>
  <c r="Z51" i="32"/>
  <c r="AA45" i="32"/>
  <c r="Z59" i="32"/>
  <c r="Z52" i="32"/>
  <c r="AA48" i="32"/>
  <c r="Z62" i="32"/>
  <c r="Z55" i="32"/>
  <c r="AA49" i="32"/>
  <c r="Z63" i="32"/>
  <c r="Z56" i="32"/>
  <c r="AA46" i="32"/>
  <c r="Z60" i="32"/>
  <c r="Z53" i="32"/>
  <c r="T275" i="14"/>
  <c r="AA187" i="14"/>
  <c r="W258" i="14" s="1"/>
  <c r="AB46" i="32" l="1"/>
  <c r="AA60" i="32"/>
  <c r="AA53" i="32"/>
  <c r="AB44" i="32"/>
  <c r="AA58" i="32"/>
  <c r="AA51" i="32"/>
  <c r="AB45" i="32"/>
  <c r="AA59" i="32"/>
  <c r="AA52" i="32"/>
  <c r="AB48" i="32"/>
  <c r="AA62" i="32"/>
  <c r="AA55" i="32"/>
  <c r="AB49" i="32"/>
  <c r="AA63" i="32"/>
  <c r="AA56" i="32"/>
  <c r="AB47" i="32"/>
  <c r="AA61" i="32"/>
  <c r="AA54" i="32"/>
  <c r="A146" i="14"/>
  <c r="A145" i="14"/>
  <c r="P128" i="14"/>
  <c r="A128" i="14"/>
  <c r="P127" i="14"/>
  <c r="A127" i="14"/>
  <c r="P122" i="14"/>
  <c r="T146" i="14" s="1"/>
  <c r="P121" i="14"/>
  <c r="A165" i="14"/>
  <c r="S207" i="14"/>
  <c r="S258" i="14" s="1"/>
  <c r="U206" i="14"/>
  <c r="T206" i="14"/>
  <c r="U205" i="14"/>
  <c r="T205" i="14"/>
  <c r="S203" i="14"/>
  <c r="A198" i="14"/>
  <c r="AA186" i="14"/>
  <c r="AA185" i="14"/>
  <c r="AA184" i="14"/>
  <c r="AA183" i="14"/>
  <c r="AA182" i="14"/>
  <c r="AA181" i="14"/>
  <c r="AA180" i="14"/>
  <c r="AA179" i="14"/>
  <c r="AA178" i="14"/>
  <c r="AA177" i="14"/>
  <c r="AA176" i="14"/>
  <c r="AA175" i="14"/>
  <c r="AA174" i="14"/>
  <c r="AA173" i="14"/>
  <c r="AA169" i="14"/>
  <c r="AC47" i="32" l="1"/>
  <c r="AB61" i="32"/>
  <c r="AB54" i="32"/>
  <c r="AC45" i="32"/>
  <c r="AB59" i="32"/>
  <c r="AB52" i="32"/>
  <c r="AC48" i="32"/>
  <c r="AB55" i="32"/>
  <c r="AB62" i="32"/>
  <c r="AC44" i="32"/>
  <c r="AB58" i="32"/>
  <c r="AB51" i="32"/>
  <c r="AC49" i="32"/>
  <c r="AB63" i="32"/>
  <c r="AB56" i="32"/>
  <c r="AC46" i="32"/>
  <c r="AB53" i="32"/>
  <c r="AB60" i="32"/>
  <c r="T145" i="14"/>
  <c r="C39" i="28"/>
  <c r="D39" i="28" s="1"/>
  <c r="E39" i="28" s="1"/>
  <c r="F39" i="28" s="1"/>
  <c r="G39" i="28" s="1"/>
  <c r="AD46" i="32" l="1"/>
  <c r="AC60" i="32"/>
  <c r="AC53" i="32"/>
  <c r="AD45" i="32"/>
  <c r="AC59" i="32"/>
  <c r="AC52" i="32"/>
  <c r="AD48" i="32"/>
  <c r="AC62" i="32"/>
  <c r="AC55" i="32"/>
  <c r="AD44" i="32"/>
  <c r="AC58" i="32"/>
  <c r="AC51" i="32"/>
  <c r="AD49" i="32"/>
  <c r="AC63" i="32"/>
  <c r="AC56" i="32"/>
  <c r="AD47" i="32"/>
  <c r="AC61" i="32"/>
  <c r="AC54" i="32"/>
  <c r="B37" i="28"/>
  <c r="Q58" i="26"/>
  <c r="Q96" i="19"/>
  <c r="A37" i="28"/>
  <c r="A58" i="26"/>
  <c r="A96" i="19"/>
  <c r="R57" i="26"/>
  <c r="S57" i="26" s="1"/>
  <c r="T57" i="26" s="1"/>
  <c r="U57" i="26" s="1"/>
  <c r="V57" i="26" s="1"/>
  <c r="W57" i="26" s="1"/>
  <c r="X57" i="26" s="1"/>
  <c r="Y57" i="26" s="1"/>
  <c r="Z57" i="26" s="1"/>
  <c r="AA57" i="26" s="1"/>
  <c r="AB57" i="26" s="1"/>
  <c r="AC57" i="26" s="1"/>
  <c r="AD57" i="26" s="1"/>
  <c r="AE57" i="26" s="1"/>
  <c r="AF57" i="26" s="1"/>
  <c r="AG57" i="26" s="1"/>
  <c r="AH57" i="26" s="1"/>
  <c r="AI57" i="26" s="1"/>
  <c r="AJ57" i="26" s="1"/>
  <c r="AK57" i="26" s="1"/>
  <c r="AL57" i="26" s="1"/>
  <c r="AM57" i="26" s="1"/>
  <c r="AN57" i="26" s="1"/>
  <c r="AO57" i="26" s="1"/>
  <c r="AP57" i="26" s="1"/>
  <c r="AQ57" i="26" s="1"/>
  <c r="AR57" i="26" s="1"/>
  <c r="AS57" i="26" s="1"/>
  <c r="AT57" i="26" s="1"/>
  <c r="AU57" i="26" s="1"/>
  <c r="AV57" i="26" s="1"/>
  <c r="AW57" i="26" s="1"/>
  <c r="AX57" i="26" s="1"/>
  <c r="AY57" i="26" s="1"/>
  <c r="AZ57" i="26" s="1"/>
  <c r="BA57" i="26" s="1"/>
  <c r="BB57" i="26" s="1"/>
  <c r="BC57" i="26" s="1"/>
  <c r="BD57" i="26" s="1"/>
  <c r="BE57" i="26" s="1"/>
  <c r="BF57" i="26" s="1"/>
  <c r="BG57" i="26" s="1"/>
  <c r="BH57" i="26" s="1"/>
  <c r="BI57" i="26" s="1"/>
  <c r="C36" i="28"/>
  <c r="D36" i="28" s="1"/>
  <c r="E36" i="28" s="1"/>
  <c r="F36" i="28" s="1"/>
  <c r="G36" i="28" s="1"/>
  <c r="A30" i="28"/>
  <c r="B29" i="28"/>
  <c r="A26" i="28"/>
  <c r="B25" i="28"/>
  <c r="B22" i="28"/>
  <c r="Q14" i="28"/>
  <c r="Q13" i="28"/>
  <c r="Q12" i="28"/>
  <c r="Q11" i="28"/>
  <c r="Q10" i="28"/>
  <c r="Q9" i="28"/>
  <c r="A2" i="28"/>
  <c r="AE47" i="32" l="1"/>
  <c r="AD61" i="32"/>
  <c r="AD54" i="32"/>
  <c r="AE48" i="32"/>
  <c r="AD62" i="32"/>
  <c r="AD55" i="32"/>
  <c r="AE44" i="32"/>
  <c r="AD58" i="32"/>
  <c r="AD51" i="32"/>
  <c r="AE45" i="32"/>
  <c r="AD59" i="32"/>
  <c r="AD52" i="32"/>
  <c r="AE49" i="32"/>
  <c r="AD56" i="32"/>
  <c r="AD63" i="32"/>
  <c r="AE46" i="32"/>
  <c r="AD60" i="32"/>
  <c r="AD53" i="32"/>
  <c r="A30" i="13"/>
  <c r="A29" i="13"/>
  <c r="A28" i="13"/>
  <c r="A106" i="24"/>
  <c r="Q105" i="24"/>
  <c r="A78" i="23"/>
  <c r="Q77" i="23"/>
  <c r="A43" i="16"/>
  <c r="Q42" i="16"/>
  <c r="AF46" i="32" l="1"/>
  <c r="AE60" i="32"/>
  <c r="AE53" i="32"/>
  <c r="AF48" i="32"/>
  <c r="AE62" i="32"/>
  <c r="AE55" i="32"/>
  <c r="AF44" i="32"/>
  <c r="AE58" i="32"/>
  <c r="AE51" i="32"/>
  <c r="AF45" i="32"/>
  <c r="AE59" i="32"/>
  <c r="AE52" i="32"/>
  <c r="AF49" i="32"/>
  <c r="AE63" i="32"/>
  <c r="AE56" i="32"/>
  <c r="AF47" i="32"/>
  <c r="AE61" i="32"/>
  <c r="AE54" i="32"/>
  <c r="A51" i="26"/>
  <c r="Q50" i="26"/>
  <c r="A89" i="19"/>
  <c r="Q88" i="19"/>
  <c r="A224" i="24" a="1"/>
  <c r="A224" i="24" s="1"/>
  <c r="AG48" i="32" l="1"/>
  <c r="AF62" i="32"/>
  <c r="AF55" i="32"/>
  <c r="AG44" i="32"/>
  <c r="AF51" i="32"/>
  <c r="AF58" i="32"/>
  <c r="AG47" i="32"/>
  <c r="AF61" i="32"/>
  <c r="AF54" i="32"/>
  <c r="AG45" i="32"/>
  <c r="AF59" i="32"/>
  <c r="AF52" i="32"/>
  <c r="AG49" i="32"/>
  <c r="AF63" i="32"/>
  <c r="AF56" i="32"/>
  <c r="AG46" i="32"/>
  <c r="AF60" i="32"/>
  <c r="AF53" i="32"/>
  <c r="A227" i="24"/>
  <c r="A226" i="24"/>
  <c r="A225" i="24"/>
  <c r="A228" i="24"/>
  <c r="AH46" i="32" l="1"/>
  <c r="AG60" i="32"/>
  <c r="AG53" i="32"/>
  <c r="AH44" i="32"/>
  <c r="AG58" i="32"/>
  <c r="AG51" i="32"/>
  <c r="AH47" i="32"/>
  <c r="AG61" i="32"/>
  <c r="AG54" i="32"/>
  <c r="AH45" i="32"/>
  <c r="AG59" i="32"/>
  <c r="AG52" i="32"/>
  <c r="AH49" i="32"/>
  <c r="AG63" i="32"/>
  <c r="AG56" i="32"/>
  <c r="AH48" i="32"/>
  <c r="AG62" i="32"/>
  <c r="AG55" i="32"/>
  <c r="W48" i="24"/>
  <c r="V48" i="24"/>
  <c r="U48" i="24"/>
  <c r="W47" i="24"/>
  <c r="V47" i="24"/>
  <c r="U47" i="24"/>
  <c r="W46" i="24"/>
  <c r="V46" i="24"/>
  <c r="U46" i="24"/>
  <c r="W45" i="24"/>
  <c r="V45" i="24"/>
  <c r="U45" i="24"/>
  <c r="AI48" i="32" l="1"/>
  <c r="AH62" i="32"/>
  <c r="AH55" i="32"/>
  <c r="AI47" i="32"/>
  <c r="AH54" i="32"/>
  <c r="AH61" i="32"/>
  <c r="AI45" i="32"/>
  <c r="AH59" i="32"/>
  <c r="AH52" i="32"/>
  <c r="AI44" i="32"/>
  <c r="AH58" i="32"/>
  <c r="AH51" i="32"/>
  <c r="AI49" i="32"/>
  <c r="AH56" i="32"/>
  <c r="AH63" i="32"/>
  <c r="AI46" i="32"/>
  <c r="AH60" i="32"/>
  <c r="AH53" i="32"/>
  <c r="Y48" i="24"/>
  <c r="X45" i="24"/>
  <c r="Y47" i="24"/>
  <c r="X47" i="24"/>
  <c r="Y46" i="24"/>
  <c r="X48" i="24"/>
  <c r="Y45" i="24"/>
  <c r="X46" i="24"/>
  <c r="AJ47" i="32" l="1"/>
  <c r="AI61" i="32"/>
  <c r="AI54" i="32"/>
  <c r="AJ45" i="32"/>
  <c r="AI59" i="32"/>
  <c r="AI52" i="32"/>
  <c r="AJ46" i="32"/>
  <c r="AI60" i="32"/>
  <c r="AI53" i="32"/>
  <c r="AJ44" i="32"/>
  <c r="AI58" i="32"/>
  <c r="AI51" i="32"/>
  <c r="AJ49" i="32"/>
  <c r="AI63" i="32"/>
  <c r="AI56" i="32"/>
  <c r="AJ48" i="32"/>
  <c r="AI62" i="32"/>
  <c r="AI55" i="32"/>
  <c r="R40" i="26"/>
  <c r="S17" i="26" s="1"/>
  <c r="R39" i="26"/>
  <c r="S16" i="26" s="1"/>
  <c r="T16" i="26" s="1"/>
  <c r="R38" i="26"/>
  <c r="S10" i="26" s="1"/>
  <c r="R37" i="26"/>
  <c r="S9" i="26" s="1"/>
  <c r="R36" i="26"/>
  <c r="S8" i="26" s="1"/>
  <c r="R31" i="23"/>
  <c r="R30" i="23"/>
  <c r="R29" i="23"/>
  <c r="R28" i="23"/>
  <c r="R27" i="23"/>
  <c r="R25" i="23"/>
  <c r="R24" i="23"/>
  <c r="R23" i="23"/>
  <c r="R22" i="23"/>
  <c r="R20" i="23"/>
  <c r="R19" i="23"/>
  <c r="R18" i="23"/>
  <c r="R17" i="23"/>
  <c r="R15" i="23"/>
  <c r="R14" i="23"/>
  <c r="R13" i="23"/>
  <c r="R61" i="19"/>
  <c r="S36" i="19" s="1"/>
  <c r="R62" i="19"/>
  <c r="S37" i="19" s="1"/>
  <c r="R63" i="19"/>
  <c r="S38" i="19" s="1"/>
  <c r="R64" i="19"/>
  <c r="S40" i="19" s="1"/>
  <c r="R65" i="19"/>
  <c r="S41" i="19" s="1"/>
  <c r="R66" i="19"/>
  <c r="S45" i="19" s="1"/>
  <c r="R68" i="19"/>
  <c r="R69" i="19"/>
  <c r="S48" i="19" s="1"/>
  <c r="R70" i="19"/>
  <c r="S51" i="19" s="1"/>
  <c r="AK45" i="32" l="1"/>
  <c r="AJ59" i="32"/>
  <c r="AJ52" i="32"/>
  <c r="AK46" i="32"/>
  <c r="AJ60" i="32"/>
  <c r="AJ53" i="32"/>
  <c r="AK48" i="32"/>
  <c r="AJ62" i="32"/>
  <c r="AJ55" i="32"/>
  <c r="AK44" i="32"/>
  <c r="AJ58" i="32"/>
  <c r="AJ51" i="32"/>
  <c r="AK49" i="32"/>
  <c r="AJ63" i="32"/>
  <c r="AJ56" i="32"/>
  <c r="AK47" i="32"/>
  <c r="AJ61" i="32"/>
  <c r="AJ54" i="32"/>
  <c r="U8" i="26"/>
  <c r="T8" i="26"/>
  <c r="V8" i="26"/>
  <c r="U17" i="26"/>
  <c r="V17" i="26"/>
  <c r="T17" i="26"/>
  <c r="V10" i="26"/>
  <c r="U10" i="26"/>
  <c r="T10" i="26"/>
  <c r="V9" i="26"/>
  <c r="U9" i="26"/>
  <c r="T9" i="26"/>
  <c r="V16" i="26"/>
  <c r="U16" i="26"/>
  <c r="S47" i="19"/>
  <c r="AL47" i="32" l="1"/>
  <c r="AK61" i="32"/>
  <c r="AK54" i="32"/>
  <c r="AL46" i="32"/>
  <c r="AK60" i="32"/>
  <c r="AK53" i="32"/>
  <c r="AL48" i="32"/>
  <c r="AK62" i="32"/>
  <c r="AK55" i="32"/>
  <c r="AL44" i="32"/>
  <c r="AK58" i="32"/>
  <c r="AK51" i="32"/>
  <c r="AL49" i="32"/>
  <c r="AK63" i="32"/>
  <c r="AK56" i="32"/>
  <c r="AL45" i="32"/>
  <c r="AK59" i="32"/>
  <c r="AK52" i="32"/>
  <c r="A82" i="26"/>
  <c r="A81" i="26"/>
  <c r="A80" i="26"/>
  <c r="A79" i="26"/>
  <c r="A78" i="26"/>
  <c r="A77" i="26"/>
  <c r="A76" i="26"/>
  <c r="A75" i="26"/>
  <c r="A74" i="26"/>
  <c r="A73" i="26"/>
  <c r="A72" i="26"/>
  <c r="A71" i="26"/>
  <c r="A69" i="26"/>
  <c r="A68" i="26"/>
  <c r="A67" i="26"/>
  <c r="A66" i="26"/>
  <c r="A65" i="26"/>
  <c r="A64" i="26"/>
  <c r="A88" i="26" s="1"/>
  <c r="A63" i="26"/>
  <c r="A47" i="26"/>
  <c r="Q46" i="26"/>
  <c r="R71" i="26" s="1"/>
  <c r="B43" i="26"/>
  <c r="S26" i="26"/>
  <c r="S25" i="26"/>
  <c r="S13" i="26"/>
  <c r="S12" i="26"/>
  <c r="A2" i="26"/>
  <c r="V52" i="19"/>
  <c r="U52" i="19"/>
  <c r="T52" i="19"/>
  <c r="V51" i="19"/>
  <c r="V49" i="19"/>
  <c r="U49" i="19"/>
  <c r="T49" i="19"/>
  <c r="T48" i="19"/>
  <c r="V44" i="19"/>
  <c r="U44" i="19"/>
  <c r="T44" i="19"/>
  <c r="U41" i="19"/>
  <c r="V39" i="19"/>
  <c r="U39" i="19"/>
  <c r="T39" i="19"/>
  <c r="T37" i="19"/>
  <c r="S77" i="19"/>
  <c r="S76" i="19"/>
  <c r="U51" i="19"/>
  <c r="V48" i="19"/>
  <c r="V47" i="19"/>
  <c r="T45" i="19"/>
  <c r="V41" i="19"/>
  <c r="U40" i="19"/>
  <c r="V38" i="19"/>
  <c r="V37" i="19"/>
  <c r="P64" i="26" l="1"/>
  <c r="Q65" i="26"/>
  <c r="P72" i="26"/>
  <c r="R65" i="26"/>
  <c r="R63" i="26"/>
  <c r="P63" i="26"/>
  <c r="Q63" i="26"/>
  <c r="P71" i="26"/>
  <c r="R64" i="26"/>
  <c r="Q64" i="26"/>
  <c r="R72" i="26"/>
  <c r="Q71" i="26"/>
  <c r="Q72" i="26"/>
  <c r="P65" i="26"/>
  <c r="AM45" i="32"/>
  <c r="AL52" i="32"/>
  <c r="AL59" i="32"/>
  <c r="AM46" i="32"/>
  <c r="AL60" i="32"/>
  <c r="AL53" i="32"/>
  <c r="AM44" i="32"/>
  <c r="AL58" i="32"/>
  <c r="AL51" i="32"/>
  <c r="AM48" i="32"/>
  <c r="AL62" i="32"/>
  <c r="AL55" i="32"/>
  <c r="AM49" i="32"/>
  <c r="AL56" i="32"/>
  <c r="AL63" i="32"/>
  <c r="AM47" i="32"/>
  <c r="AL61" i="32"/>
  <c r="AL54" i="32"/>
  <c r="Q67" i="19"/>
  <c r="R67" i="19" s="1"/>
  <c r="S46" i="19" s="1"/>
  <c r="U46" i="19" s="1"/>
  <c r="V13" i="26"/>
  <c r="R68" i="26" s="1"/>
  <c r="U13" i="26"/>
  <c r="Q68" i="26" s="1"/>
  <c r="T13" i="26"/>
  <c r="P68" i="26" s="1"/>
  <c r="U25" i="26"/>
  <c r="Q80" i="26" s="1"/>
  <c r="T25" i="26"/>
  <c r="P80" i="26" s="1"/>
  <c r="V25" i="26"/>
  <c r="R80" i="26" s="1"/>
  <c r="V26" i="26"/>
  <c r="R81" i="26" s="1"/>
  <c r="U26" i="26"/>
  <c r="Q81" i="26" s="1"/>
  <c r="T26" i="26"/>
  <c r="P81" i="26" s="1"/>
  <c r="U12" i="26"/>
  <c r="Q67" i="26" s="1"/>
  <c r="T12" i="26"/>
  <c r="P67" i="26" s="1"/>
  <c r="V12" i="26"/>
  <c r="R67" i="26" s="1"/>
  <c r="U48" i="19"/>
  <c r="U37" i="19"/>
  <c r="V40" i="19"/>
  <c r="T41" i="19"/>
  <c r="S11" i="26"/>
  <c r="S18" i="26"/>
  <c r="S19" i="26"/>
  <c r="S20" i="26"/>
  <c r="S22" i="26"/>
  <c r="S23" i="26"/>
  <c r="T38" i="19"/>
  <c r="U45" i="19"/>
  <c r="U38" i="19"/>
  <c r="V45" i="19"/>
  <c r="T47" i="19"/>
  <c r="T40" i="19"/>
  <c r="U47" i="19"/>
  <c r="T51" i="19"/>
  <c r="AN47" i="32" l="1"/>
  <c r="AM61" i="32"/>
  <c r="AM54" i="32"/>
  <c r="AN46" i="32"/>
  <c r="AM60" i="32"/>
  <c r="AM53" i="32"/>
  <c r="AN44" i="32"/>
  <c r="AM58" i="32"/>
  <c r="AM51" i="32"/>
  <c r="AN48" i="32"/>
  <c r="AM62" i="32"/>
  <c r="AM55" i="32"/>
  <c r="AN49" i="32"/>
  <c r="AM63" i="32"/>
  <c r="AM56" i="32"/>
  <c r="AN45" i="32"/>
  <c r="AM59" i="32"/>
  <c r="AM52" i="32"/>
  <c r="T23" i="26"/>
  <c r="P78" i="26" s="1"/>
  <c r="V23" i="26"/>
  <c r="R78" i="26" s="1"/>
  <c r="U23" i="26"/>
  <c r="Q78" i="26" s="1"/>
  <c r="V18" i="26"/>
  <c r="R73" i="26" s="1"/>
  <c r="U18" i="26"/>
  <c r="Q73" i="26" s="1"/>
  <c r="T18" i="26"/>
  <c r="P73" i="26" s="1"/>
  <c r="V22" i="26"/>
  <c r="R77" i="26" s="1"/>
  <c r="U22" i="26"/>
  <c r="Q77" i="26" s="1"/>
  <c r="T22" i="26"/>
  <c r="P77" i="26" s="1"/>
  <c r="T11" i="26"/>
  <c r="P66" i="26" s="1"/>
  <c r="U11" i="26"/>
  <c r="Q66" i="26" s="1"/>
  <c r="V11" i="26"/>
  <c r="R66" i="26" s="1"/>
  <c r="T20" i="26"/>
  <c r="P75" i="26" s="1"/>
  <c r="U20" i="26"/>
  <c r="Q75" i="26" s="1"/>
  <c r="V20" i="26"/>
  <c r="R75" i="26" s="1"/>
  <c r="V19" i="26"/>
  <c r="R74" i="26" s="1"/>
  <c r="U19" i="26"/>
  <c r="Q74" i="26" s="1"/>
  <c r="T19" i="26"/>
  <c r="P74" i="26" s="1"/>
  <c r="T46" i="19"/>
  <c r="V46" i="19"/>
  <c r="S27" i="26"/>
  <c r="S24" i="26"/>
  <c r="S21" i="26"/>
  <c r="S14" i="26"/>
  <c r="AO45" i="32" l="1"/>
  <c r="AN59" i="32"/>
  <c r="AN52" i="32"/>
  <c r="AO46" i="32"/>
  <c r="AN60" i="32"/>
  <c r="AN53" i="32"/>
  <c r="AO44" i="32"/>
  <c r="AN58" i="32"/>
  <c r="AN51" i="32"/>
  <c r="AO48" i="32"/>
  <c r="AN55" i="32"/>
  <c r="AN62" i="32"/>
  <c r="AO49" i="32"/>
  <c r="AN63" i="32"/>
  <c r="AN56" i="32"/>
  <c r="AO47" i="32"/>
  <c r="AN61" i="32"/>
  <c r="AN54" i="32"/>
  <c r="U21" i="26"/>
  <c r="Q76" i="26" s="1"/>
  <c r="T21" i="26"/>
  <c r="P76" i="26" s="1"/>
  <c r="V21" i="26"/>
  <c r="R76" i="26" s="1"/>
  <c r="T24" i="26"/>
  <c r="P79" i="26" s="1"/>
  <c r="U24" i="26"/>
  <c r="Q79" i="26" s="1"/>
  <c r="V24" i="26"/>
  <c r="R79" i="26" s="1"/>
  <c r="V27" i="26"/>
  <c r="R82" i="26" s="1"/>
  <c r="T27" i="26"/>
  <c r="P82" i="26" s="1"/>
  <c r="U27" i="26"/>
  <c r="Q82" i="26" s="1"/>
  <c r="V14" i="26"/>
  <c r="R69" i="26" s="1"/>
  <c r="U14" i="26"/>
  <c r="Q69" i="26" s="1"/>
  <c r="T14" i="26"/>
  <c r="P69" i="26" s="1"/>
  <c r="AP47" i="32" l="1"/>
  <c r="AO61" i="32"/>
  <c r="AO54" i="32"/>
  <c r="AP46" i="32"/>
  <c r="AO60" i="32"/>
  <c r="AO53" i="32"/>
  <c r="AP48" i="32"/>
  <c r="AO62" i="32"/>
  <c r="AO55" i="32"/>
  <c r="AP44" i="32"/>
  <c r="AO58" i="32"/>
  <c r="AO51" i="32"/>
  <c r="AP49" i="32"/>
  <c r="AO63" i="32"/>
  <c r="AO56" i="32"/>
  <c r="AP45" i="32"/>
  <c r="AO59" i="32"/>
  <c r="AO52" i="32"/>
  <c r="A102" i="24"/>
  <c r="Q101" i="24"/>
  <c r="B35" i="16"/>
  <c r="A39" i="16"/>
  <c r="Q38" i="16"/>
  <c r="A74" i="23"/>
  <c r="Q73" i="23"/>
  <c r="B70" i="23"/>
  <c r="T39" i="24"/>
  <c r="B91" i="24"/>
  <c r="A2" i="24"/>
  <c r="S66" i="23"/>
  <c r="S65" i="23"/>
  <c r="S64" i="23"/>
  <c r="S63" i="23"/>
  <c r="P52" i="23"/>
  <c r="P21" i="23" s="1"/>
  <c r="T35" i="24"/>
  <c r="T81" i="24"/>
  <c r="T77" i="24"/>
  <c r="Q21" i="23"/>
  <c r="T71" i="24"/>
  <c r="T67" i="24"/>
  <c r="T63" i="24"/>
  <c r="T59" i="24"/>
  <c r="T23" i="24"/>
  <c r="A4" i="23"/>
  <c r="A2" i="23"/>
  <c r="T217" i="24" l="1"/>
  <c r="P217" i="24"/>
  <c r="S217" i="24"/>
  <c r="R217" i="24"/>
  <c r="Q217" i="24"/>
  <c r="AQ45" i="32"/>
  <c r="AP59" i="32"/>
  <c r="AP52" i="32"/>
  <c r="AQ46" i="32"/>
  <c r="AP60" i="32"/>
  <c r="AP53" i="32"/>
  <c r="AQ44" i="32"/>
  <c r="AP58" i="32"/>
  <c r="AP51" i="32"/>
  <c r="AQ48" i="32"/>
  <c r="AP62" i="32"/>
  <c r="AP55" i="32"/>
  <c r="AQ49" i="32"/>
  <c r="AP63" i="32"/>
  <c r="AP56" i="32"/>
  <c r="AQ47" i="32"/>
  <c r="AP61" i="32"/>
  <c r="AP54" i="32"/>
  <c r="Q110" i="23"/>
  <c r="Q102" i="23"/>
  <c r="Q109" i="23"/>
  <c r="Q108" i="23"/>
  <c r="Q107" i="23"/>
  <c r="Q58" i="16"/>
  <c r="Q54" i="16"/>
  <c r="Q53" i="16"/>
  <c r="Q60" i="16"/>
  <c r="Q56" i="16"/>
  <c r="Q61" i="16"/>
  <c r="Q57" i="16"/>
  <c r="Q59" i="16"/>
  <c r="Q55" i="16"/>
  <c r="T210" i="24"/>
  <c r="P210" i="24"/>
  <c r="R210" i="24"/>
  <c r="Q210" i="24"/>
  <c r="S210" i="24"/>
  <c r="R21" i="23"/>
  <c r="T31" i="24" s="1"/>
  <c r="Q104" i="23"/>
  <c r="W69" i="24"/>
  <c r="V68" i="24"/>
  <c r="U67" i="24"/>
  <c r="V70" i="24"/>
  <c r="W70" i="24"/>
  <c r="V69" i="24"/>
  <c r="U68" i="24"/>
  <c r="U69" i="24"/>
  <c r="U70" i="24"/>
  <c r="W68" i="24"/>
  <c r="Y68" i="24" s="1"/>
  <c r="V67" i="24"/>
  <c r="W67" i="24"/>
  <c r="W83" i="24"/>
  <c r="V82" i="24"/>
  <c r="U81" i="24"/>
  <c r="U83" i="24"/>
  <c r="W84" i="24"/>
  <c r="V83" i="24"/>
  <c r="U82" i="24"/>
  <c r="U84" i="24"/>
  <c r="W82" i="24"/>
  <c r="V81" i="24"/>
  <c r="V84" i="24"/>
  <c r="W81" i="24"/>
  <c r="W25" i="24"/>
  <c r="V24" i="24"/>
  <c r="U23" i="24"/>
  <c r="V26" i="24"/>
  <c r="W23" i="24"/>
  <c r="W26" i="24"/>
  <c r="V25" i="24"/>
  <c r="U24" i="24"/>
  <c r="U25" i="24"/>
  <c r="U26" i="24"/>
  <c r="W24" i="24"/>
  <c r="V23" i="24"/>
  <c r="W73" i="24"/>
  <c r="V72" i="24"/>
  <c r="U71" i="24"/>
  <c r="U73" i="24"/>
  <c r="W74" i="24"/>
  <c r="V73" i="24"/>
  <c r="U72" i="24"/>
  <c r="U74" i="24"/>
  <c r="W72" i="24"/>
  <c r="V71" i="24"/>
  <c r="V74" i="24"/>
  <c r="W71" i="24"/>
  <c r="W37" i="24"/>
  <c r="V36" i="24"/>
  <c r="U35" i="24"/>
  <c r="W38" i="24"/>
  <c r="V37" i="24"/>
  <c r="U36" i="24"/>
  <c r="X36" i="24" s="1"/>
  <c r="W35" i="24"/>
  <c r="U38" i="24"/>
  <c r="W36" i="24"/>
  <c r="V35" i="24"/>
  <c r="Q150" i="24" s="1"/>
  <c r="V38" i="24"/>
  <c r="U37" i="24"/>
  <c r="Q125" i="24" s="1"/>
  <c r="W41" i="24"/>
  <c r="V40" i="24"/>
  <c r="U39" i="24"/>
  <c r="W39" i="24"/>
  <c r="W42" i="24"/>
  <c r="V41" i="24"/>
  <c r="U40" i="24"/>
  <c r="U41" i="24"/>
  <c r="U42" i="24"/>
  <c r="W40" i="24"/>
  <c r="Y40" i="24" s="1"/>
  <c r="V39" i="24"/>
  <c r="V42" i="24"/>
  <c r="W61" i="24"/>
  <c r="V60" i="24"/>
  <c r="U59" i="24"/>
  <c r="W59" i="24"/>
  <c r="W62" i="24"/>
  <c r="V61" i="24"/>
  <c r="U60" i="24"/>
  <c r="V62" i="24"/>
  <c r="U62" i="24"/>
  <c r="W60" i="24"/>
  <c r="Y60" i="24" s="1"/>
  <c r="V59" i="24"/>
  <c r="U61" i="24"/>
  <c r="W65" i="24"/>
  <c r="V64" i="24"/>
  <c r="U63" i="24"/>
  <c r="V66" i="24"/>
  <c r="U65" i="24"/>
  <c r="W66" i="24"/>
  <c r="V65" i="24"/>
  <c r="U64" i="24"/>
  <c r="U66" i="24"/>
  <c r="W64" i="24"/>
  <c r="Y64" i="24" s="1"/>
  <c r="V63" i="24"/>
  <c r="W63" i="24"/>
  <c r="W79" i="24"/>
  <c r="V78" i="24"/>
  <c r="U77" i="24"/>
  <c r="V80" i="24"/>
  <c r="W77" i="24"/>
  <c r="W80" i="24"/>
  <c r="V79" i="24"/>
  <c r="U78" i="24"/>
  <c r="U79" i="24"/>
  <c r="U80" i="24"/>
  <c r="W78" i="24"/>
  <c r="V77" i="24"/>
  <c r="T49" i="24"/>
  <c r="T53" i="24"/>
  <c r="P46" i="23"/>
  <c r="P48" i="23"/>
  <c r="P47" i="23"/>
  <c r="R219" i="24" l="1"/>
  <c r="S219" i="24"/>
  <c r="P219" i="24"/>
  <c r="Q219" i="24"/>
  <c r="T219" i="24"/>
  <c r="Q233" i="24" a="1"/>
  <c r="Q124" i="24"/>
  <c r="Q153" i="24"/>
  <c r="Q142" i="24"/>
  <c r="Q115" i="24"/>
  <c r="AR47" i="32"/>
  <c r="AQ61" i="32"/>
  <c r="AQ54" i="32"/>
  <c r="AR46" i="32"/>
  <c r="AQ60" i="32"/>
  <c r="AQ53" i="32"/>
  <c r="AR44" i="32"/>
  <c r="AQ58" i="32"/>
  <c r="AQ51" i="32"/>
  <c r="AR48" i="32"/>
  <c r="AQ62" i="32"/>
  <c r="AQ55" i="32"/>
  <c r="AR49" i="32"/>
  <c r="AQ63" i="32"/>
  <c r="AQ56" i="32"/>
  <c r="AR45" i="32"/>
  <c r="AQ59" i="32"/>
  <c r="AQ52" i="32"/>
  <c r="Q154" i="24"/>
  <c r="Q176" i="24"/>
  <c r="Q179" i="24"/>
  <c r="Q151" i="24"/>
  <c r="Q116" i="24"/>
  <c r="Q166" i="24"/>
  <c r="Q167" i="24"/>
  <c r="Q141" i="24"/>
  <c r="Q128" i="24"/>
  <c r="Q178" i="24"/>
  <c r="Q127" i="24"/>
  <c r="Q175" i="24"/>
  <c r="Q224" i="24" a="1"/>
  <c r="Q224" i="24" s="1"/>
  <c r="Y63" i="24"/>
  <c r="Y59" i="24"/>
  <c r="Y39" i="24"/>
  <c r="X38" i="24"/>
  <c r="Y38" i="24"/>
  <c r="X74" i="24"/>
  <c r="X84" i="24"/>
  <c r="Y67" i="24"/>
  <c r="X78" i="24"/>
  <c r="X64" i="24"/>
  <c r="X61" i="24"/>
  <c r="X41" i="24"/>
  <c r="X37" i="24"/>
  <c r="Y71" i="24"/>
  <c r="X73" i="24"/>
  <c r="X24" i="24"/>
  <c r="Y81" i="24"/>
  <c r="X83" i="24"/>
  <c r="X69" i="24"/>
  <c r="X72" i="24"/>
  <c r="Y24" i="24"/>
  <c r="X82" i="24"/>
  <c r="X68" i="24"/>
  <c r="Y78" i="24"/>
  <c r="X60" i="24"/>
  <c r="X40" i="24"/>
  <c r="Y35" i="24"/>
  <c r="X71" i="24"/>
  <c r="X79" i="24"/>
  <c r="Y79" i="24"/>
  <c r="X65" i="24"/>
  <c r="Y36" i="24"/>
  <c r="Y72" i="24"/>
  <c r="Y73" i="24"/>
  <c r="Y82" i="24"/>
  <c r="X35" i="24"/>
  <c r="X81" i="24"/>
  <c r="Y65" i="24"/>
  <c r="Y61" i="24"/>
  <c r="Y41" i="24"/>
  <c r="Y74" i="24"/>
  <c r="X25" i="24"/>
  <c r="Y25" i="24"/>
  <c r="Y84" i="24"/>
  <c r="Y83" i="24"/>
  <c r="Y69" i="24"/>
  <c r="X77" i="24"/>
  <c r="X63" i="24"/>
  <c r="X59" i="24"/>
  <c r="X39" i="24"/>
  <c r="X23" i="24"/>
  <c r="X67" i="24"/>
  <c r="W55" i="24"/>
  <c r="V54" i="24"/>
  <c r="U53" i="24"/>
  <c r="U55" i="24"/>
  <c r="W56" i="24"/>
  <c r="V55" i="24"/>
  <c r="U54" i="24"/>
  <c r="U56" i="24"/>
  <c r="W54" i="24"/>
  <c r="V53" i="24"/>
  <c r="Q160" i="24" s="1"/>
  <c r="V56" i="24"/>
  <c r="W53" i="24"/>
  <c r="X80" i="24"/>
  <c r="Y80" i="24"/>
  <c r="Y66" i="24"/>
  <c r="X26" i="24"/>
  <c r="Y26" i="24"/>
  <c r="W33" i="24"/>
  <c r="V32" i="24"/>
  <c r="U31" i="24"/>
  <c r="V34" i="24"/>
  <c r="W31" i="24"/>
  <c r="W34" i="24"/>
  <c r="V33" i="24"/>
  <c r="U32" i="24"/>
  <c r="U34" i="24"/>
  <c r="W32" i="24"/>
  <c r="V31" i="24"/>
  <c r="U33" i="24"/>
  <c r="W51" i="24"/>
  <c r="V50" i="24"/>
  <c r="U49" i="24"/>
  <c r="V51" i="24"/>
  <c r="W49" i="24"/>
  <c r="U50" i="24"/>
  <c r="V52" i="24"/>
  <c r="U52" i="24"/>
  <c r="W50" i="24"/>
  <c r="V49" i="24"/>
  <c r="W52" i="24"/>
  <c r="U51" i="24"/>
  <c r="Y77" i="24"/>
  <c r="X66" i="24"/>
  <c r="X62" i="24"/>
  <c r="Y62" i="24"/>
  <c r="X42" i="24"/>
  <c r="Y42" i="24"/>
  <c r="Y37" i="24"/>
  <c r="Y23" i="24"/>
  <c r="X70" i="24"/>
  <c r="Y70" i="24"/>
  <c r="P49" i="23"/>
  <c r="P16" i="23" s="1"/>
  <c r="Q157" i="24" l="1"/>
  <c r="Q233" i="24"/>
  <c r="R233" i="24" s="1"/>
  <c r="S233" i="24" s="1"/>
  <c r="Q237" i="24"/>
  <c r="R237" i="24" s="1"/>
  <c r="S237" i="24" s="1"/>
  <c r="Q234" i="24"/>
  <c r="R234" i="24" s="1"/>
  <c r="S234" i="24" s="1"/>
  <c r="Q235" i="24"/>
  <c r="R235" i="24" s="1"/>
  <c r="S235" i="24" s="1"/>
  <c r="Q236" i="24"/>
  <c r="R236" i="24" s="1"/>
  <c r="S236" i="24" s="1"/>
  <c r="AS45" i="32"/>
  <c r="AR59" i="32"/>
  <c r="AR52" i="32"/>
  <c r="AS46" i="32"/>
  <c r="AR53" i="32"/>
  <c r="AR60" i="32"/>
  <c r="AS44" i="32"/>
  <c r="AR58" i="32"/>
  <c r="AR51" i="32"/>
  <c r="AS48" i="32"/>
  <c r="AR55" i="32"/>
  <c r="AR62" i="32"/>
  <c r="AS49" i="32"/>
  <c r="AR63" i="32"/>
  <c r="AR56" i="32"/>
  <c r="AS47" i="32"/>
  <c r="AR61" i="32"/>
  <c r="AR54" i="32"/>
  <c r="Q132" i="24"/>
  <c r="Q131" i="24"/>
  <c r="Q147" i="24"/>
  <c r="Q135" i="24"/>
  <c r="Q121" i="24"/>
  <c r="Q134" i="24"/>
  <c r="Q148" i="24"/>
  <c r="Q185" i="24"/>
  <c r="Q182" i="24"/>
  <c r="Q172" i="24"/>
  <c r="Q173" i="24"/>
  <c r="Q161" i="24"/>
  <c r="Q183" i="24"/>
  <c r="Q158" i="24"/>
  <c r="Q122" i="24"/>
  <c r="Q186" i="24"/>
  <c r="X50" i="24"/>
  <c r="X51" i="24"/>
  <c r="Q227" i="24"/>
  <c r="Q226" i="24"/>
  <c r="Q228" i="24"/>
  <c r="Q225" i="24"/>
  <c r="Y32" i="24"/>
  <c r="X34" i="24"/>
  <c r="Y52" i="24"/>
  <c r="Y31" i="24"/>
  <c r="Y33" i="24"/>
  <c r="Q177" i="24"/>
  <c r="X52" i="24"/>
  <c r="X33" i="24"/>
  <c r="Y50" i="24"/>
  <c r="Y49" i="24"/>
  <c r="Y51" i="24"/>
  <c r="X32" i="24"/>
  <c r="Y56" i="24"/>
  <c r="X49" i="24"/>
  <c r="X56" i="24"/>
  <c r="Y55" i="24"/>
  <c r="X31" i="24"/>
  <c r="Y53" i="24"/>
  <c r="X55" i="24"/>
  <c r="Y54" i="24"/>
  <c r="Y34" i="24"/>
  <c r="X54" i="24"/>
  <c r="X53" i="24"/>
  <c r="Q180" i="24"/>
  <c r="Q152" i="24"/>
  <c r="Q126" i="24"/>
  <c r="Q117" i="24"/>
  <c r="Q129" i="24"/>
  <c r="Q168" i="24"/>
  <c r="Q155" i="24"/>
  <c r="Q143" i="24"/>
  <c r="Q16" i="23"/>
  <c r="AT47" i="32" l="1"/>
  <c r="AS61" i="32"/>
  <c r="AS54" i="32"/>
  <c r="AT46" i="32"/>
  <c r="AS60" i="32"/>
  <c r="AS53" i="32"/>
  <c r="AT44" i="32"/>
  <c r="AS58" i="32"/>
  <c r="AS51" i="32"/>
  <c r="AT48" i="32"/>
  <c r="AS62" i="32"/>
  <c r="AS55" i="32"/>
  <c r="AT49" i="32"/>
  <c r="AS63" i="32"/>
  <c r="AS56" i="32"/>
  <c r="AT45" i="32"/>
  <c r="AS59" i="32"/>
  <c r="AS52" i="32"/>
  <c r="R16" i="23"/>
  <c r="T27" i="24" s="1"/>
  <c r="Q103" i="23"/>
  <c r="Q117" i="23"/>
  <c r="Q162" i="24"/>
  <c r="Q136" i="24"/>
  <c r="Q184" i="24"/>
  <c r="Q123" i="24"/>
  <c r="Q174" i="24"/>
  <c r="Q159" i="24"/>
  <c r="Q187" i="24"/>
  <c r="Q133" i="24"/>
  <c r="Q149" i="24"/>
  <c r="AU45" i="32" l="1"/>
  <c r="AT59" i="32"/>
  <c r="AT52" i="32"/>
  <c r="AU46" i="32"/>
  <c r="AT60" i="32"/>
  <c r="AT53" i="32"/>
  <c r="AU44" i="32"/>
  <c r="AT58" i="32"/>
  <c r="AT51" i="32"/>
  <c r="AU48" i="32"/>
  <c r="AT62" i="32"/>
  <c r="AT55" i="32"/>
  <c r="AU49" i="32"/>
  <c r="AT56" i="32"/>
  <c r="AT63" i="32"/>
  <c r="AU47" i="32"/>
  <c r="AT61" i="32"/>
  <c r="AT54" i="32"/>
  <c r="W29" i="24"/>
  <c r="V28" i="24"/>
  <c r="U27" i="24"/>
  <c r="W30" i="24"/>
  <c r="V29" i="24"/>
  <c r="U28" i="24"/>
  <c r="U29" i="24"/>
  <c r="U30" i="24"/>
  <c r="W28" i="24"/>
  <c r="V27" i="24"/>
  <c r="Q144" i="24" s="1"/>
  <c r="V30" i="24"/>
  <c r="W27" i="24"/>
  <c r="AV47" i="32" l="1"/>
  <c r="AU61" i="32"/>
  <c r="AU54" i="32"/>
  <c r="AV46" i="32"/>
  <c r="AU60" i="32"/>
  <c r="AU53" i="32"/>
  <c r="AV44" i="32"/>
  <c r="AU58" i="32"/>
  <c r="AU51" i="32"/>
  <c r="AV48" i="32"/>
  <c r="AU62" i="32"/>
  <c r="AU55" i="32"/>
  <c r="AV49" i="32"/>
  <c r="AU63" i="32"/>
  <c r="AU56" i="32"/>
  <c r="AV45" i="32"/>
  <c r="AU59" i="32"/>
  <c r="AU52" i="32"/>
  <c r="Q169" i="24"/>
  <c r="Q118" i="24"/>
  <c r="Q119" i="24"/>
  <c r="Q145" i="24"/>
  <c r="Q146" i="24" s="1"/>
  <c r="Q170" i="24"/>
  <c r="X28" i="24"/>
  <c r="X29" i="24"/>
  <c r="Y27" i="24"/>
  <c r="X30" i="24"/>
  <c r="Y30" i="24"/>
  <c r="Y28" i="24"/>
  <c r="X27" i="24"/>
  <c r="Y29" i="24"/>
  <c r="AW45" i="32" l="1"/>
  <c r="AV59" i="32"/>
  <c r="AV52" i="32"/>
  <c r="AW46" i="32"/>
  <c r="AV60" i="32"/>
  <c r="AV53" i="32"/>
  <c r="AW44" i="32"/>
  <c r="AV51" i="32"/>
  <c r="AV58" i="32"/>
  <c r="AW48" i="32"/>
  <c r="AV62" i="32"/>
  <c r="AV55" i="32"/>
  <c r="AW49" i="32"/>
  <c r="AV63" i="32"/>
  <c r="AV56" i="32"/>
  <c r="AW47" i="32"/>
  <c r="AV61" i="32"/>
  <c r="AV54" i="32"/>
  <c r="Q120" i="24"/>
  <c r="Q171" i="24"/>
  <c r="R117" i="23" s="1"/>
  <c r="S45" i="22"/>
  <c r="S43" i="22"/>
  <c r="S42" i="22"/>
  <c r="S44" i="22" s="1"/>
  <c r="S41" i="22"/>
  <c r="T36" i="22"/>
  <c r="S36" i="22"/>
  <c r="R36" i="22"/>
  <c r="Q36" i="22"/>
  <c r="P36" i="22"/>
  <c r="T35" i="22"/>
  <c r="S35" i="22"/>
  <c r="R35" i="22"/>
  <c r="Q35" i="22"/>
  <c r="P35" i="22"/>
  <c r="Q34" i="22"/>
  <c r="R34" i="22" s="1"/>
  <c r="S34" i="22" s="1"/>
  <c r="T34" i="22" s="1"/>
  <c r="Q23" i="22"/>
  <c r="R23" i="22" s="1"/>
  <c r="S23" i="22" s="1"/>
  <c r="T23" i="22" s="1"/>
  <c r="A2" i="22"/>
  <c r="AX47" i="32" l="1"/>
  <c r="AW61" i="32"/>
  <c r="AW54" i="32"/>
  <c r="AX46" i="32"/>
  <c r="AW60" i="32"/>
  <c r="AW53" i="32"/>
  <c r="AX44" i="32"/>
  <c r="AW58" i="32"/>
  <c r="AW51" i="32"/>
  <c r="AX48" i="32"/>
  <c r="AW62" i="32"/>
  <c r="AW55" i="32"/>
  <c r="AX49" i="32"/>
  <c r="AW63" i="32"/>
  <c r="AW56" i="32"/>
  <c r="AX45" i="32"/>
  <c r="AW59" i="32"/>
  <c r="AW52" i="32"/>
  <c r="A118" i="19"/>
  <c r="A116" i="19"/>
  <c r="P114" i="19"/>
  <c r="P107" i="19"/>
  <c r="R95" i="19"/>
  <c r="S95" i="19" s="1"/>
  <c r="T95" i="19" s="1"/>
  <c r="U95" i="19" s="1"/>
  <c r="V95" i="19" s="1"/>
  <c r="W95" i="19" s="1"/>
  <c r="X95" i="19" s="1"/>
  <c r="Y95" i="19" s="1"/>
  <c r="Z95" i="19" s="1"/>
  <c r="AA95" i="19" s="1"/>
  <c r="AB95" i="19" s="1"/>
  <c r="AC95" i="19" s="1"/>
  <c r="AD95" i="19" s="1"/>
  <c r="AE95" i="19" s="1"/>
  <c r="AF95" i="19" s="1"/>
  <c r="AG95" i="19" s="1"/>
  <c r="AH95" i="19" s="1"/>
  <c r="AI95" i="19" s="1"/>
  <c r="AJ95" i="19" s="1"/>
  <c r="AK95" i="19" s="1"/>
  <c r="AL95" i="19" s="1"/>
  <c r="AM95" i="19" s="1"/>
  <c r="AN95" i="19" s="1"/>
  <c r="AO95" i="19" s="1"/>
  <c r="AP95" i="19" s="1"/>
  <c r="AQ95" i="19" s="1"/>
  <c r="AR95" i="19" s="1"/>
  <c r="AS95" i="19" s="1"/>
  <c r="AT95" i="19" s="1"/>
  <c r="AU95" i="19" s="1"/>
  <c r="AV95" i="19" s="1"/>
  <c r="AW95" i="19" s="1"/>
  <c r="AX95" i="19" s="1"/>
  <c r="AY95" i="19" s="1"/>
  <c r="AZ95" i="19" s="1"/>
  <c r="BA95" i="19" s="1"/>
  <c r="BB95" i="19" s="1"/>
  <c r="BC95" i="19" s="1"/>
  <c r="BD95" i="19" s="1"/>
  <c r="BE95" i="19" s="1"/>
  <c r="BF95" i="19" s="1"/>
  <c r="BG95" i="19" s="1"/>
  <c r="BH95" i="19" s="1"/>
  <c r="BI95" i="19" s="1"/>
  <c r="A85" i="19"/>
  <c r="Q84" i="19"/>
  <c r="B81" i="19"/>
  <c r="A24" i="19"/>
  <c r="A23" i="19"/>
  <c r="A20" i="19"/>
  <c r="A18" i="19"/>
  <c r="U14" i="19"/>
  <c r="V14" i="19" s="1"/>
  <c r="W14" i="19" s="1"/>
  <c r="X14" i="19" s="1"/>
  <c r="Y14" i="19" s="1"/>
  <c r="Z14" i="19" s="1"/>
  <c r="AA14" i="19" s="1"/>
  <c r="AB14" i="19" s="1"/>
  <c r="AC14" i="19" s="1"/>
  <c r="AD14" i="19" s="1"/>
  <c r="AE14" i="19" s="1"/>
  <c r="AF14" i="19" s="1"/>
  <c r="AG14" i="19" s="1"/>
  <c r="AH14" i="19" s="1"/>
  <c r="AI14" i="19" s="1"/>
  <c r="AJ14" i="19" s="1"/>
  <c r="AK14" i="19" s="1"/>
  <c r="AL14" i="19" s="1"/>
  <c r="AM14" i="19" s="1"/>
  <c r="AN14" i="19" s="1"/>
  <c r="AO14" i="19" s="1"/>
  <c r="AP14" i="19" s="1"/>
  <c r="AQ14" i="19" s="1"/>
  <c r="AR14" i="19" s="1"/>
  <c r="AS14" i="19" s="1"/>
  <c r="AT14" i="19" s="1"/>
  <c r="AU14" i="19" s="1"/>
  <c r="AV14" i="19" s="1"/>
  <c r="AW14" i="19" s="1"/>
  <c r="AX14" i="19" s="1"/>
  <c r="AY14" i="19" s="1"/>
  <c r="AZ14" i="19" s="1"/>
  <c r="BA14" i="19" s="1"/>
  <c r="BB14" i="19" s="1"/>
  <c r="BC14" i="19" s="1"/>
  <c r="BD14" i="19" s="1"/>
  <c r="BE14" i="19" s="1"/>
  <c r="BF14" i="19" s="1"/>
  <c r="BG14" i="19" s="1"/>
  <c r="BH14" i="19" s="1"/>
  <c r="BI14" i="19" s="1"/>
  <c r="BJ14" i="19" s="1"/>
  <c r="A13" i="19"/>
  <c r="U7" i="19"/>
  <c r="V7" i="19" s="1"/>
  <c r="W7" i="19" s="1"/>
  <c r="X7" i="19" s="1"/>
  <c r="Y7" i="19" s="1"/>
  <c r="Z7" i="19" s="1"/>
  <c r="AA7" i="19" s="1"/>
  <c r="AB7" i="19" s="1"/>
  <c r="AC7" i="19" s="1"/>
  <c r="AD7" i="19" s="1"/>
  <c r="AE7" i="19" s="1"/>
  <c r="AF7" i="19" s="1"/>
  <c r="AG7" i="19" s="1"/>
  <c r="AH7" i="19" s="1"/>
  <c r="AI7" i="19" s="1"/>
  <c r="AJ7" i="19" s="1"/>
  <c r="AK7" i="19" s="1"/>
  <c r="AL7" i="19" s="1"/>
  <c r="AM7" i="19" s="1"/>
  <c r="AN7" i="19" s="1"/>
  <c r="AO7" i="19" s="1"/>
  <c r="AP7" i="19" s="1"/>
  <c r="AQ7" i="19" s="1"/>
  <c r="AR7" i="19" s="1"/>
  <c r="AS7" i="19" s="1"/>
  <c r="AT7" i="19" s="1"/>
  <c r="AU7" i="19" s="1"/>
  <c r="AV7" i="19" s="1"/>
  <c r="AW7" i="19" s="1"/>
  <c r="AX7" i="19" s="1"/>
  <c r="AY7" i="19" s="1"/>
  <c r="AZ7" i="19" s="1"/>
  <c r="BA7" i="19" s="1"/>
  <c r="BB7" i="19" s="1"/>
  <c r="BC7" i="19" s="1"/>
  <c r="BD7" i="19" s="1"/>
  <c r="BE7" i="19" s="1"/>
  <c r="BF7" i="19" s="1"/>
  <c r="BG7" i="19" s="1"/>
  <c r="BH7" i="19" s="1"/>
  <c r="BI7" i="19" s="1"/>
  <c r="BJ7" i="19" s="1"/>
  <c r="A6" i="19"/>
  <c r="A4" i="19"/>
  <c r="A13" i="17"/>
  <c r="A6" i="17"/>
  <c r="A4" i="17"/>
  <c r="A2" i="19"/>
  <c r="P105" i="19" l="1"/>
  <c r="R105" i="19"/>
  <c r="Q104" i="19"/>
  <c r="P104" i="19"/>
  <c r="R104" i="19"/>
  <c r="Q105" i="19"/>
  <c r="Q102" i="19"/>
  <c r="R102" i="19"/>
  <c r="P102" i="19"/>
  <c r="AY45" i="32"/>
  <c r="AX59" i="32"/>
  <c r="AX52" i="32"/>
  <c r="AY46" i="32"/>
  <c r="AX60" i="32"/>
  <c r="AX53" i="32"/>
  <c r="AY44" i="32"/>
  <c r="AX58" i="32"/>
  <c r="AX51" i="32"/>
  <c r="AY48" i="32"/>
  <c r="AX62" i="32"/>
  <c r="AX55" i="32"/>
  <c r="AY49" i="32"/>
  <c r="AX56" i="32"/>
  <c r="AX63" i="32"/>
  <c r="AY47" i="32"/>
  <c r="AX54" i="32"/>
  <c r="AX61" i="32"/>
  <c r="A28" i="17"/>
  <c r="A26" i="17"/>
  <c r="A25" i="17"/>
  <c r="A24" i="17"/>
  <c r="A23" i="17"/>
  <c r="A20" i="17"/>
  <c r="A18" i="17"/>
  <c r="A69" i="17"/>
  <c r="A67" i="17"/>
  <c r="AZ47" i="32" l="1"/>
  <c r="AY61" i="32"/>
  <c r="AY54" i="32"/>
  <c r="AZ46" i="32"/>
  <c r="AY60" i="32"/>
  <c r="AY53" i="32"/>
  <c r="AZ44" i="32"/>
  <c r="AY58" i="32"/>
  <c r="AY51" i="32"/>
  <c r="AZ48" i="32"/>
  <c r="AY62" i="32"/>
  <c r="AY55" i="32"/>
  <c r="AZ49" i="32"/>
  <c r="AY63" i="32"/>
  <c r="AY56" i="32"/>
  <c r="AZ45" i="32"/>
  <c r="AY59" i="32"/>
  <c r="AY52" i="32"/>
  <c r="A4" i="13"/>
  <c r="A216" i="17"/>
  <c r="B203" i="17"/>
  <c r="B202" i="17"/>
  <c r="B201" i="17"/>
  <c r="P194" i="17"/>
  <c r="P193" i="17"/>
  <c r="P192" i="17"/>
  <c r="P191" i="17"/>
  <c r="P190" i="17"/>
  <c r="A190" i="17"/>
  <c r="P189" i="17"/>
  <c r="AY99" i="17"/>
  <c r="AY7" i="13" s="1"/>
  <c r="AT99" i="17"/>
  <c r="AO99" i="17"/>
  <c r="AJ99" i="17"/>
  <c r="AE99" i="17"/>
  <c r="Z99" i="17"/>
  <c r="U99" i="17"/>
  <c r="Q99" i="17"/>
  <c r="A94" i="17"/>
  <c r="T92" i="17"/>
  <c r="S92" i="17"/>
  <c r="R92" i="17"/>
  <c r="R93" i="17" s="1"/>
  <c r="R91" i="17"/>
  <c r="S91" i="17" s="1"/>
  <c r="A89" i="17"/>
  <c r="Q88" i="17"/>
  <c r="U226" i="17"/>
  <c r="T226" i="17"/>
  <c r="U225" i="17"/>
  <c r="T225" i="17"/>
  <c r="AA57" i="17"/>
  <c r="W227" i="17" s="1"/>
  <c r="AA39" i="17"/>
  <c r="U14" i="17"/>
  <c r="V14" i="17" s="1"/>
  <c r="W14" i="17" s="1"/>
  <c r="X14" i="17" s="1"/>
  <c r="Y14" i="17" s="1"/>
  <c r="Z14" i="17" s="1"/>
  <c r="AA14" i="17" s="1"/>
  <c r="AB14" i="17" s="1"/>
  <c r="AC14" i="17" s="1"/>
  <c r="AD14" i="17" s="1"/>
  <c r="AE14" i="17" s="1"/>
  <c r="AF14" i="17" s="1"/>
  <c r="AG14" i="17" s="1"/>
  <c r="AH14" i="17" s="1"/>
  <c r="AI14" i="17" s="1"/>
  <c r="AJ14" i="17" s="1"/>
  <c r="AK14" i="17" s="1"/>
  <c r="AL14" i="17" s="1"/>
  <c r="AM14" i="17" s="1"/>
  <c r="AN14" i="17" s="1"/>
  <c r="AO14" i="17" s="1"/>
  <c r="AP14" i="17" s="1"/>
  <c r="AQ14" i="17" s="1"/>
  <c r="AR14" i="17" s="1"/>
  <c r="AS14" i="17" s="1"/>
  <c r="AT14" i="17" s="1"/>
  <c r="AU14" i="17" s="1"/>
  <c r="AV14" i="17" s="1"/>
  <c r="AW14" i="17" s="1"/>
  <c r="AX14" i="17" s="1"/>
  <c r="AY14" i="17" s="1"/>
  <c r="AZ14" i="17" s="1"/>
  <c r="BA14" i="17" s="1"/>
  <c r="BB14" i="17" s="1"/>
  <c r="BC14" i="17" s="1"/>
  <c r="BD14" i="17" s="1"/>
  <c r="BE14" i="17" s="1"/>
  <c r="BF14" i="17" s="1"/>
  <c r="BG14" i="17" s="1"/>
  <c r="BH14" i="17" s="1"/>
  <c r="BI14" i="17" s="1"/>
  <c r="BJ14" i="17" s="1"/>
  <c r="U7" i="17"/>
  <c r="V7" i="17" s="1"/>
  <c r="W7" i="17" s="1"/>
  <c r="X7" i="17" s="1"/>
  <c r="Y7" i="17" s="1"/>
  <c r="Z7" i="17" s="1"/>
  <c r="AA7" i="17" s="1"/>
  <c r="AB7" i="17" s="1"/>
  <c r="AC7" i="17" s="1"/>
  <c r="AD7" i="17" s="1"/>
  <c r="AE7" i="17" s="1"/>
  <c r="AF7" i="17" s="1"/>
  <c r="AG7" i="17" s="1"/>
  <c r="AH7" i="17" s="1"/>
  <c r="AI7" i="17" s="1"/>
  <c r="AJ7" i="17" s="1"/>
  <c r="AK7" i="17" s="1"/>
  <c r="AL7" i="17" s="1"/>
  <c r="AM7" i="17" s="1"/>
  <c r="AN7" i="17" s="1"/>
  <c r="AO7" i="17" s="1"/>
  <c r="AP7" i="17" s="1"/>
  <c r="AQ7" i="17" s="1"/>
  <c r="AR7" i="17" s="1"/>
  <c r="AS7" i="17" s="1"/>
  <c r="AT7" i="17" s="1"/>
  <c r="AU7" i="17" s="1"/>
  <c r="AV7" i="17" s="1"/>
  <c r="AW7" i="17" s="1"/>
  <c r="AX7" i="17" s="1"/>
  <c r="AY7" i="17" s="1"/>
  <c r="AZ7" i="17" s="1"/>
  <c r="BA7" i="17" s="1"/>
  <c r="BB7" i="17" s="1"/>
  <c r="BC7" i="17" s="1"/>
  <c r="BD7" i="17" s="1"/>
  <c r="BE7" i="17" s="1"/>
  <c r="BF7" i="17" s="1"/>
  <c r="BG7" i="17" s="1"/>
  <c r="BH7" i="17" s="1"/>
  <c r="BI7" i="17" s="1"/>
  <c r="BJ7" i="17" s="1"/>
  <c r="A2" i="17"/>
  <c r="T91" i="17" l="1"/>
  <c r="BA45" i="32"/>
  <c r="AZ59" i="32"/>
  <c r="AZ52" i="32"/>
  <c r="BA46" i="32"/>
  <c r="AZ60" i="32"/>
  <c r="AZ53" i="32"/>
  <c r="BA44" i="32"/>
  <c r="AZ58" i="32"/>
  <c r="AZ51" i="32"/>
  <c r="BA48" i="32"/>
  <c r="AZ62" i="32"/>
  <c r="AZ55" i="32"/>
  <c r="BA49" i="32"/>
  <c r="AZ63" i="32"/>
  <c r="AZ56" i="32"/>
  <c r="BA47" i="32"/>
  <c r="AZ61" i="32"/>
  <c r="AZ54" i="32"/>
  <c r="Z7" i="13"/>
  <c r="AA99" i="17"/>
  <c r="AB99" i="17" s="1"/>
  <c r="AC99" i="17" s="1"/>
  <c r="AD99" i="17" s="1"/>
  <c r="AT7" i="13"/>
  <c r="AU99" i="17"/>
  <c r="AV99" i="17" s="1"/>
  <c r="AW99" i="17" s="1"/>
  <c r="AX99" i="17" s="1"/>
  <c r="AE7" i="13"/>
  <c r="AF99" i="17"/>
  <c r="AG99" i="17" s="1"/>
  <c r="AH99" i="17" s="1"/>
  <c r="AI99" i="17" s="1"/>
  <c r="U7" i="13"/>
  <c r="V99" i="17"/>
  <c r="W99" i="17" s="1"/>
  <c r="X99" i="17" s="1"/>
  <c r="Y99" i="17" s="1"/>
  <c r="AO7" i="13"/>
  <c r="AP99" i="17"/>
  <c r="AQ99" i="17" s="1"/>
  <c r="AR99" i="17" s="1"/>
  <c r="AS99" i="17" s="1"/>
  <c r="Q7" i="13"/>
  <c r="R99" i="17"/>
  <c r="S99" i="17" s="1"/>
  <c r="T99" i="17" s="1"/>
  <c r="AJ7" i="13"/>
  <c r="AK99" i="17"/>
  <c r="AL99" i="17" s="1"/>
  <c r="AM99" i="17" s="1"/>
  <c r="AN99" i="17" s="1"/>
  <c r="B200" i="17"/>
  <c r="P218" i="17" s="1"/>
  <c r="S93" i="17"/>
  <c r="T93" i="17" s="1"/>
  <c r="U93" i="17" s="1"/>
  <c r="Q101" i="17"/>
  <c r="AF7" i="13"/>
  <c r="AZ99" i="17"/>
  <c r="AZ7" i="13" s="1"/>
  <c r="Q9" i="13" l="1"/>
  <c r="Q107" i="17"/>
  <c r="B40" i="28" s="1"/>
  <c r="U91" i="17"/>
  <c r="AA7" i="13"/>
  <c r="BB47" i="32"/>
  <c r="BA61" i="32"/>
  <c r="BA54" i="32"/>
  <c r="BB46" i="32"/>
  <c r="BA60" i="32"/>
  <c r="BA53" i="32"/>
  <c r="BB44" i="32"/>
  <c r="BA58" i="32"/>
  <c r="BA51" i="32"/>
  <c r="BB48" i="32"/>
  <c r="BA62" i="32"/>
  <c r="BA55" i="32"/>
  <c r="BB49" i="32"/>
  <c r="BA63" i="32"/>
  <c r="BA56" i="32"/>
  <c r="BB45" i="32"/>
  <c r="BA59" i="32"/>
  <c r="BA52" i="32"/>
  <c r="V7" i="13"/>
  <c r="R7" i="13"/>
  <c r="AK7" i="13"/>
  <c r="BG218" i="17"/>
  <c r="BC218" i="17"/>
  <c r="AY218" i="17"/>
  <c r="AU218" i="17"/>
  <c r="AQ218" i="17"/>
  <c r="AM218" i="17"/>
  <c r="AI218" i="17"/>
  <c r="AE218" i="17"/>
  <c r="AA218" i="17"/>
  <c r="W218" i="17"/>
  <c r="S218" i="17"/>
  <c r="BF218" i="17"/>
  <c r="BB218" i="17"/>
  <c r="AX218" i="17"/>
  <c r="AT218" i="17"/>
  <c r="AP218" i="17"/>
  <c r="AL218" i="17"/>
  <c r="AH218" i="17"/>
  <c r="AD218" i="17"/>
  <c r="Z218" i="17"/>
  <c r="V218" i="17"/>
  <c r="BI218" i="17"/>
  <c r="BE218" i="17"/>
  <c r="BA218" i="17"/>
  <c r="AW218" i="17"/>
  <c r="AS218" i="17"/>
  <c r="AO218" i="17"/>
  <c r="AK218" i="17"/>
  <c r="AG218" i="17"/>
  <c r="AC218" i="17"/>
  <c r="Y218" i="17"/>
  <c r="U218" i="17"/>
  <c r="AZ218" i="17"/>
  <c r="AJ218" i="17"/>
  <c r="T218" i="17"/>
  <c r="AR218" i="17"/>
  <c r="AB218" i="17"/>
  <c r="BD218" i="17"/>
  <c r="X218" i="17"/>
  <c r="AV218" i="17"/>
  <c r="AF218" i="17"/>
  <c r="BH218" i="17"/>
  <c r="AN218" i="17"/>
  <c r="P220" i="17"/>
  <c r="P216" i="17"/>
  <c r="P217" i="17"/>
  <c r="P215" i="17"/>
  <c r="P219" i="17"/>
  <c r="V93" i="17"/>
  <c r="W93" i="17" s="1"/>
  <c r="X93" i="17" s="1"/>
  <c r="Y93" i="17" s="1"/>
  <c r="Z93" i="17" s="1"/>
  <c r="AA93" i="17" s="1"/>
  <c r="AB93" i="17" s="1"/>
  <c r="AC93" i="17" s="1"/>
  <c r="AD93" i="17" s="1"/>
  <c r="AE93" i="17" s="1"/>
  <c r="AF93" i="17" s="1"/>
  <c r="AG93" i="17" s="1"/>
  <c r="AH93" i="17" s="1"/>
  <c r="AI93" i="17" s="1"/>
  <c r="AJ93" i="17" s="1"/>
  <c r="AK93" i="17" s="1"/>
  <c r="AL93" i="17" s="1"/>
  <c r="AM93" i="17" s="1"/>
  <c r="AN93" i="17" s="1"/>
  <c r="AO93" i="17" s="1"/>
  <c r="AP93" i="17" s="1"/>
  <c r="AQ93" i="17" s="1"/>
  <c r="AR93" i="17" s="1"/>
  <c r="AS93" i="17" s="1"/>
  <c r="AT93" i="17" s="1"/>
  <c r="AU93" i="17" s="1"/>
  <c r="AV93" i="17" s="1"/>
  <c r="AW93" i="17" s="1"/>
  <c r="AX93" i="17" s="1"/>
  <c r="AY93" i="17" s="1"/>
  <c r="AZ93" i="17" s="1"/>
  <c r="BA93" i="17" s="1"/>
  <c r="BB93" i="17" s="1"/>
  <c r="BC93" i="17" s="1"/>
  <c r="BD93" i="17" s="1"/>
  <c r="BE93" i="17" s="1"/>
  <c r="BF93" i="17" s="1"/>
  <c r="BG93" i="17" s="1"/>
  <c r="BH93" i="17" s="1"/>
  <c r="BI93" i="17" s="1"/>
  <c r="U101" i="17"/>
  <c r="U107" i="17" s="1"/>
  <c r="F40" i="28" s="1"/>
  <c r="AP7" i="13"/>
  <c r="AU7" i="13"/>
  <c r="AF100" i="17"/>
  <c r="AG7" i="13"/>
  <c r="AL7" i="13"/>
  <c r="AK100" i="17"/>
  <c r="V100" i="17"/>
  <c r="W7" i="13"/>
  <c r="AZ100" i="17"/>
  <c r="BA99" i="17"/>
  <c r="BA7" i="13" s="1"/>
  <c r="R100" i="17"/>
  <c r="R101" i="17"/>
  <c r="S7" i="13"/>
  <c r="AB7" i="13"/>
  <c r="AA100" i="17"/>
  <c r="R9" i="13" l="1"/>
  <c r="R106" i="17"/>
  <c r="R107" i="17"/>
  <c r="C40" i="28" s="1"/>
  <c r="V91" i="17"/>
  <c r="BC45" i="32"/>
  <c r="BB52" i="32"/>
  <c r="BB59" i="32"/>
  <c r="BC46" i="32"/>
  <c r="BB60" i="32"/>
  <c r="BB53" i="32"/>
  <c r="BC44" i="32"/>
  <c r="BB58" i="32"/>
  <c r="BB51" i="32"/>
  <c r="BC48" i="32"/>
  <c r="BB62" i="32"/>
  <c r="BB55" i="32"/>
  <c r="BC49" i="32"/>
  <c r="BB56" i="32"/>
  <c r="BB63" i="32"/>
  <c r="BC47" i="32"/>
  <c r="BB61" i="32"/>
  <c r="BB54" i="32"/>
  <c r="BI219" i="17"/>
  <c r="BE219" i="17"/>
  <c r="BA219" i="17"/>
  <c r="AW219" i="17"/>
  <c r="AS219" i="17"/>
  <c r="AO219" i="17"/>
  <c r="AK219" i="17"/>
  <c r="AG219" i="17"/>
  <c r="AC219" i="17"/>
  <c r="Y219" i="17"/>
  <c r="U219" i="17"/>
  <c r="BH219" i="17"/>
  <c r="BD219" i="17"/>
  <c r="AZ219" i="17"/>
  <c r="AV219" i="17"/>
  <c r="AR219" i="17"/>
  <c r="AN219" i="17"/>
  <c r="AJ219" i="17"/>
  <c r="AF219" i="17"/>
  <c r="AB219" i="17"/>
  <c r="X219" i="17"/>
  <c r="T219" i="17"/>
  <c r="BG219" i="17"/>
  <c r="BC219" i="17"/>
  <c r="AY219" i="17"/>
  <c r="AU219" i="17"/>
  <c r="AQ219" i="17"/>
  <c r="AM219" i="17"/>
  <c r="AI219" i="17"/>
  <c r="AE219" i="17"/>
  <c r="AA219" i="17"/>
  <c r="W219" i="17"/>
  <c r="BF219" i="17"/>
  <c r="AP219" i="17"/>
  <c r="Z219" i="17"/>
  <c r="S219" i="17"/>
  <c r="AX219" i="17"/>
  <c r="AH219" i="17"/>
  <c r="AT219" i="17"/>
  <c r="AD219" i="17"/>
  <c r="BB219" i="17"/>
  <c r="AL219" i="17"/>
  <c r="V219" i="17"/>
  <c r="BG220" i="17"/>
  <c r="BC220" i="17"/>
  <c r="AY220" i="17"/>
  <c r="AU220" i="17"/>
  <c r="AQ220" i="17"/>
  <c r="AM220" i="17"/>
  <c r="AI220" i="17"/>
  <c r="AE220" i="17"/>
  <c r="AA220" i="17"/>
  <c r="W220" i="17"/>
  <c r="BD220" i="17"/>
  <c r="AV220" i="17"/>
  <c r="AR220" i="17"/>
  <c r="AF220" i="17"/>
  <c r="X220" i="17"/>
  <c r="T220" i="17"/>
  <c r="BF220" i="17"/>
  <c r="BB220" i="17"/>
  <c r="AX220" i="17"/>
  <c r="AT220" i="17"/>
  <c r="AP220" i="17"/>
  <c r="AL220" i="17"/>
  <c r="AH220" i="17"/>
  <c r="AD220" i="17"/>
  <c r="Z220" i="17"/>
  <c r="V220" i="17"/>
  <c r="BI220" i="17"/>
  <c r="BE220" i="17"/>
  <c r="BA220" i="17"/>
  <c r="AW220" i="17"/>
  <c r="AS220" i="17"/>
  <c r="AO220" i="17"/>
  <c r="AK220" i="17"/>
  <c r="AG220" i="17"/>
  <c r="AC220" i="17"/>
  <c r="Y220" i="17"/>
  <c r="U220" i="17"/>
  <c r="S220" i="17"/>
  <c r="BH220" i="17"/>
  <c r="AZ220" i="17"/>
  <c r="AN220" i="17"/>
  <c r="AJ220" i="17"/>
  <c r="AB220" i="17"/>
  <c r="BI215" i="17"/>
  <c r="BE215" i="17"/>
  <c r="BA215" i="17"/>
  <c r="AW215" i="17"/>
  <c r="AS215" i="17"/>
  <c r="AO215" i="17"/>
  <c r="AK215" i="17"/>
  <c r="AG215" i="17"/>
  <c r="AC215" i="17"/>
  <c r="Y215" i="17"/>
  <c r="U215" i="17"/>
  <c r="BH215" i="17"/>
  <c r="BD215" i="17"/>
  <c r="AZ215" i="17"/>
  <c r="AV215" i="17"/>
  <c r="AR215" i="17"/>
  <c r="AN215" i="17"/>
  <c r="AJ215" i="17"/>
  <c r="AF215" i="17"/>
  <c r="AB215" i="17"/>
  <c r="X215" i="17"/>
  <c r="T215" i="17"/>
  <c r="BG215" i="17"/>
  <c r="BC215" i="17"/>
  <c r="AY215" i="17"/>
  <c r="AU215" i="17"/>
  <c r="AQ215" i="17"/>
  <c r="AM215" i="17"/>
  <c r="AI215" i="17"/>
  <c r="AE215" i="17"/>
  <c r="AA215" i="17"/>
  <c r="W215" i="17"/>
  <c r="AX215" i="17"/>
  <c r="AH215" i="17"/>
  <c r="AP215" i="17"/>
  <c r="BB215" i="17"/>
  <c r="V215" i="17"/>
  <c r="AT215" i="17"/>
  <c r="AD215" i="17"/>
  <c r="S215" i="17"/>
  <c r="BF215" i="17"/>
  <c r="Z215" i="17"/>
  <c r="AL215" i="17"/>
  <c r="BI217" i="17"/>
  <c r="BE217" i="17"/>
  <c r="BA217" i="17"/>
  <c r="AW217" i="17"/>
  <c r="AS217" i="17"/>
  <c r="AO217" i="17"/>
  <c r="AK217" i="17"/>
  <c r="AG217" i="17"/>
  <c r="AC217" i="17"/>
  <c r="Y217" i="17"/>
  <c r="U217" i="17"/>
  <c r="U237" i="17" s="1"/>
  <c r="BH217" i="17"/>
  <c r="BD217" i="17"/>
  <c r="AZ217" i="17"/>
  <c r="AV217" i="17"/>
  <c r="AR217" i="17"/>
  <c r="AN217" i="17"/>
  <c r="AJ217" i="17"/>
  <c r="AF217" i="17"/>
  <c r="AB217" i="17"/>
  <c r="X217" i="17"/>
  <c r="T217" i="17"/>
  <c r="S217" i="17"/>
  <c r="BG217" i="17"/>
  <c r="BC217" i="17"/>
  <c r="AY217" i="17"/>
  <c r="AU217" i="17"/>
  <c r="AQ217" i="17"/>
  <c r="AM217" i="17"/>
  <c r="AI217" i="17"/>
  <c r="AE217" i="17"/>
  <c r="AA217" i="17"/>
  <c r="W217" i="17"/>
  <c r="AT217" i="17"/>
  <c r="AD217" i="17"/>
  <c r="AL217" i="17"/>
  <c r="V217" i="17"/>
  <c r="AH217" i="17"/>
  <c r="BF217" i="17"/>
  <c r="AP217" i="17"/>
  <c r="Z217" i="17"/>
  <c r="BB217" i="17"/>
  <c r="AX217" i="17"/>
  <c r="BG216" i="17"/>
  <c r="BC216" i="17"/>
  <c r="AY216" i="17"/>
  <c r="AU216" i="17"/>
  <c r="AQ216" i="17"/>
  <c r="AM216" i="17"/>
  <c r="AI216" i="17"/>
  <c r="AE216" i="17"/>
  <c r="AA216" i="17"/>
  <c r="W216" i="17"/>
  <c r="BF216" i="17"/>
  <c r="BB216" i="17"/>
  <c r="AX216" i="17"/>
  <c r="AT216" i="17"/>
  <c r="AP216" i="17"/>
  <c r="AL216" i="17"/>
  <c r="AH216" i="17"/>
  <c r="AD216" i="17"/>
  <c r="Z216" i="17"/>
  <c r="V216" i="17"/>
  <c r="BI216" i="17"/>
  <c r="BE216" i="17"/>
  <c r="BA216" i="17"/>
  <c r="AW216" i="17"/>
  <c r="AS216" i="17"/>
  <c r="AO216" i="17"/>
  <c r="AK216" i="17"/>
  <c r="AG216" i="17"/>
  <c r="AC216" i="17"/>
  <c r="Y216" i="17"/>
  <c r="U216" i="17"/>
  <c r="S216" i="17"/>
  <c r="BD216" i="17"/>
  <c r="AN216" i="17"/>
  <c r="X216" i="17"/>
  <c r="AF216" i="17"/>
  <c r="AR216" i="17"/>
  <c r="AZ216" i="17"/>
  <c r="AJ216" i="17"/>
  <c r="T216" i="17"/>
  <c r="AV216" i="17"/>
  <c r="BH216" i="17"/>
  <c r="AB216" i="17"/>
  <c r="U9" i="13"/>
  <c r="AF101" i="17"/>
  <c r="AF107" i="17" s="1"/>
  <c r="V101" i="17"/>
  <c r="AK101" i="17"/>
  <c r="AK107" i="17" s="1"/>
  <c r="AA101" i="17"/>
  <c r="AA107" i="17" s="1"/>
  <c r="AJ101" i="17"/>
  <c r="AJ107" i="17" s="1"/>
  <c r="AO101" i="17"/>
  <c r="AO107" i="17" s="1"/>
  <c r="U116" i="17"/>
  <c r="AT101" i="17"/>
  <c r="AT107" i="17" s="1"/>
  <c r="Z101" i="17"/>
  <c r="Z107" i="17" s="1"/>
  <c r="AZ101" i="17"/>
  <c r="AZ107" i="17" s="1"/>
  <c r="AY101" i="17"/>
  <c r="AY107" i="17" s="1"/>
  <c r="AE101" i="17"/>
  <c r="AE107" i="17" s="1"/>
  <c r="AP101" i="17"/>
  <c r="AP107" i="17" s="1"/>
  <c r="AQ7" i="13"/>
  <c r="AP100" i="17"/>
  <c r="AU101" i="17"/>
  <c r="AU107" i="17" s="1"/>
  <c r="AU100" i="17"/>
  <c r="AV7" i="13"/>
  <c r="AB101" i="17"/>
  <c r="AB107" i="17" s="1"/>
  <c r="AB100" i="17"/>
  <c r="AC7" i="13"/>
  <c r="AG101" i="17"/>
  <c r="AG107" i="17" s="1"/>
  <c r="AH7" i="13"/>
  <c r="AG100" i="17"/>
  <c r="AL100" i="17"/>
  <c r="AM7" i="13"/>
  <c r="AL101" i="17"/>
  <c r="S101" i="17"/>
  <c r="T7" i="13"/>
  <c r="S100" i="17"/>
  <c r="W101" i="17"/>
  <c r="W107" i="17" s="1"/>
  <c r="X7" i="13"/>
  <c r="W100" i="17"/>
  <c r="BA101" i="17"/>
  <c r="BA107" i="17" s="1"/>
  <c r="BB99" i="17"/>
  <c r="BB7" i="13" s="1"/>
  <c r="BA100" i="17"/>
  <c r="S106" i="17" l="1"/>
  <c r="S107" i="17"/>
  <c r="D40" i="28" s="1"/>
  <c r="AL106" i="17"/>
  <c r="AL107" i="17"/>
  <c r="V106" i="17"/>
  <c r="V107" i="17"/>
  <c r="G40" i="28" s="1"/>
  <c r="W91" i="17"/>
  <c r="AU106" i="17"/>
  <c r="BD47" i="32"/>
  <c r="BC61" i="32"/>
  <c r="BC54" i="32"/>
  <c r="BD46" i="32"/>
  <c r="BC60" i="32"/>
  <c r="BC53" i="32"/>
  <c r="BD44" i="32"/>
  <c r="BC58" i="32"/>
  <c r="BC51" i="32"/>
  <c r="BD48" i="32"/>
  <c r="BC62" i="32"/>
  <c r="BC55" i="32"/>
  <c r="BD49" i="32"/>
  <c r="BC63" i="32"/>
  <c r="BC56" i="32"/>
  <c r="BD45" i="32"/>
  <c r="BC59" i="32"/>
  <c r="BC52" i="32"/>
  <c r="W106" i="17"/>
  <c r="AG106" i="17"/>
  <c r="AA106" i="17"/>
  <c r="AP106" i="17"/>
  <c r="BA106" i="17"/>
  <c r="AZ106" i="17"/>
  <c r="AF106" i="17"/>
  <c r="AB106" i="17"/>
  <c r="AK106" i="17"/>
  <c r="U180" i="13"/>
  <c r="U181" i="13"/>
  <c r="U182" i="13"/>
  <c r="U179" i="13"/>
  <c r="U176" i="13"/>
  <c r="U173" i="13"/>
  <c r="U174" i="13"/>
  <c r="U175" i="13"/>
  <c r="AU237" i="17"/>
  <c r="AA237" i="17"/>
  <c r="W237" i="17"/>
  <c r="AB237" i="17"/>
  <c r="AY237" i="17"/>
  <c r="AE237" i="17"/>
  <c r="AL237" i="17"/>
  <c r="AG237" i="17"/>
  <c r="V237" i="17"/>
  <c r="AP237" i="17"/>
  <c r="S9" i="13"/>
  <c r="AK237" i="17"/>
  <c r="BA237" i="17"/>
  <c r="Z237" i="17"/>
  <c r="AF237" i="17"/>
  <c r="AZ237" i="17"/>
  <c r="AO237" i="17"/>
  <c r="AJ237" i="17"/>
  <c r="AT237" i="17"/>
  <c r="W9" i="13"/>
  <c r="BA9" i="13"/>
  <c r="AG9" i="13"/>
  <c r="AZ9" i="13"/>
  <c r="AO9" i="13"/>
  <c r="V9" i="13"/>
  <c r="AP9" i="13"/>
  <c r="Z9" i="13"/>
  <c r="AJ9" i="13"/>
  <c r="AF9" i="13"/>
  <c r="AL9" i="13"/>
  <c r="AB9" i="13"/>
  <c r="AY9" i="13"/>
  <c r="AK9" i="13"/>
  <c r="AU9" i="13"/>
  <c r="AT9" i="13"/>
  <c r="AA9" i="13"/>
  <c r="AZ116" i="17"/>
  <c r="AJ116" i="17"/>
  <c r="AF116" i="17"/>
  <c r="V116" i="17"/>
  <c r="AA116" i="17"/>
  <c r="AY116" i="17"/>
  <c r="AT116" i="17"/>
  <c r="AK116" i="17"/>
  <c r="AO116" i="17"/>
  <c r="Z116" i="17"/>
  <c r="AE9" i="13"/>
  <c r="AE116" i="17"/>
  <c r="AP116" i="17"/>
  <c r="AU116" i="17"/>
  <c r="AQ100" i="17"/>
  <c r="AR7" i="13"/>
  <c r="AQ101" i="17"/>
  <c r="AV100" i="17"/>
  <c r="AW7" i="13"/>
  <c r="AV101" i="17"/>
  <c r="AB116" i="17"/>
  <c r="W116" i="17"/>
  <c r="AL116" i="17"/>
  <c r="AG116" i="17"/>
  <c r="BA116" i="17"/>
  <c r="AM101" i="17"/>
  <c r="AN7" i="13"/>
  <c r="AM100" i="17"/>
  <c r="AC101" i="17"/>
  <c r="AD7" i="13"/>
  <c r="AC100" i="17"/>
  <c r="T101" i="17"/>
  <c r="T107" i="17" s="1"/>
  <c r="E40" i="28" s="1"/>
  <c r="T100" i="17"/>
  <c r="U100" i="17"/>
  <c r="BB100" i="17"/>
  <c r="BB101" i="17"/>
  <c r="BC99" i="17"/>
  <c r="BC7" i="13" s="1"/>
  <c r="X101" i="17"/>
  <c r="X100" i="17"/>
  <c r="Y7" i="13"/>
  <c r="AH100" i="17"/>
  <c r="AI7" i="13"/>
  <c r="AH101" i="17"/>
  <c r="P50" i="28" l="1"/>
  <c r="L50" i="28"/>
  <c r="H50" i="28"/>
  <c r="D50" i="28"/>
  <c r="O50" i="28"/>
  <c r="K50" i="28"/>
  <c r="G50" i="28"/>
  <c r="C50" i="28"/>
  <c r="N50" i="28"/>
  <c r="J50" i="28"/>
  <c r="F50" i="28"/>
  <c r="B50" i="28"/>
  <c r="M50" i="28"/>
  <c r="I50" i="28"/>
  <c r="E50" i="28"/>
  <c r="Q50" i="28"/>
  <c r="AC106" i="17"/>
  <c r="AC107" i="17"/>
  <c r="AQ106" i="17"/>
  <c r="AQ107" i="17"/>
  <c r="BB106" i="17"/>
  <c r="BB107" i="17"/>
  <c r="AV106" i="17"/>
  <c r="AV107" i="17"/>
  <c r="AH106" i="17"/>
  <c r="AH107" i="17"/>
  <c r="X106" i="17"/>
  <c r="X107" i="17"/>
  <c r="AM106" i="17"/>
  <c r="AM107" i="17"/>
  <c r="X91" i="17"/>
  <c r="BE45" i="32"/>
  <c r="BD59" i="32"/>
  <c r="BD52" i="32"/>
  <c r="BE46" i="32"/>
  <c r="BD60" i="32"/>
  <c r="BD53" i="32"/>
  <c r="BE44" i="32"/>
  <c r="BD58" i="32"/>
  <c r="BD51" i="32"/>
  <c r="BE48" i="32"/>
  <c r="BD55" i="32"/>
  <c r="BD62" i="32"/>
  <c r="BE49" i="32"/>
  <c r="BD63" i="32"/>
  <c r="BD56" i="32"/>
  <c r="BE47" i="32"/>
  <c r="BD61" i="32"/>
  <c r="BD54" i="32"/>
  <c r="T106" i="17"/>
  <c r="U106" i="17"/>
  <c r="AK182" i="13"/>
  <c r="AK181" i="13"/>
  <c r="AK180" i="13"/>
  <c r="AK179" i="13"/>
  <c r="AK173" i="13"/>
  <c r="AK175" i="13"/>
  <c r="AK174" i="13"/>
  <c r="AK176" i="13"/>
  <c r="AF179" i="13"/>
  <c r="AF182" i="13"/>
  <c r="AF181" i="13"/>
  <c r="AF180" i="13"/>
  <c r="AF176" i="13"/>
  <c r="AF173" i="13"/>
  <c r="AF174" i="13"/>
  <c r="AF175" i="13"/>
  <c r="V179" i="13"/>
  <c r="V182" i="13"/>
  <c r="V180" i="13"/>
  <c r="V181" i="13"/>
  <c r="V176" i="13"/>
  <c r="V173" i="13"/>
  <c r="V175" i="13"/>
  <c r="V174" i="13"/>
  <c r="BA182" i="13"/>
  <c r="BA181" i="13"/>
  <c r="BA179" i="13"/>
  <c r="BA180" i="13"/>
  <c r="BA175" i="13"/>
  <c r="BA176" i="13"/>
  <c r="BA173" i="13"/>
  <c r="BA174" i="13"/>
  <c r="AA179" i="13"/>
  <c r="AA182" i="13"/>
  <c r="AA181" i="13"/>
  <c r="AA180" i="13"/>
  <c r="AA173" i="13"/>
  <c r="AA174" i="13"/>
  <c r="AA175" i="13"/>
  <c r="AA176" i="13"/>
  <c r="AY180" i="13"/>
  <c r="AY182" i="13"/>
  <c r="AY179" i="13"/>
  <c r="AY181" i="13"/>
  <c r="AY174" i="13"/>
  <c r="AY176" i="13"/>
  <c r="AY173" i="13"/>
  <c r="AY175" i="13"/>
  <c r="AJ181" i="13"/>
  <c r="AJ179" i="13"/>
  <c r="AJ182" i="13"/>
  <c r="AJ180" i="13"/>
  <c r="AJ174" i="13"/>
  <c r="AJ176" i="13"/>
  <c r="AJ173" i="13"/>
  <c r="AJ175" i="13"/>
  <c r="AO181" i="13"/>
  <c r="AO182" i="13"/>
  <c r="AO180" i="13"/>
  <c r="AO179" i="13"/>
  <c r="AO173" i="13"/>
  <c r="AO174" i="13"/>
  <c r="AO176" i="13"/>
  <c r="AO175" i="13"/>
  <c r="W181" i="13"/>
  <c r="W182" i="13"/>
  <c r="W180" i="13"/>
  <c r="W179" i="13"/>
  <c r="W176" i="13"/>
  <c r="W173" i="13"/>
  <c r="W175" i="13"/>
  <c r="W174" i="13"/>
  <c r="AE179" i="13"/>
  <c r="AE182" i="13"/>
  <c r="AE180" i="13"/>
  <c r="AE181" i="13"/>
  <c r="AE175" i="13"/>
  <c r="AE176" i="13"/>
  <c r="AE174" i="13"/>
  <c r="AE173" i="13"/>
  <c r="AT182" i="13"/>
  <c r="AT181" i="13"/>
  <c r="AT179" i="13"/>
  <c r="AT180" i="13"/>
  <c r="AT173" i="13"/>
  <c r="AT176" i="13"/>
  <c r="AT175" i="13"/>
  <c r="AT174" i="13"/>
  <c r="AB179" i="13"/>
  <c r="AB181" i="13"/>
  <c r="AB182" i="13"/>
  <c r="AB180" i="13"/>
  <c r="AB174" i="13"/>
  <c r="AB176" i="13"/>
  <c r="AB173" i="13"/>
  <c r="AB175" i="13"/>
  <c r="Z180" i="13"/>
  <c r="Z181" i="13"/>
  <c r="Z182" i="13"/>
  <c r="Z179" i="13"/>
  <c r="Z176" i="13"/>
  <c r="Z175" i="13"/>
  <c r="Z174" i="13"/>
  <c r="Z173" i="13"/>
  <c r="AZ182" i="13"/>
  <c r="AZ181" i="13"/>
  <c r="AZ179" i="13"/>
  <c r="AZ180" i="13"/>
  <c r="AZ175" i="13"/>
  <c r="AZ176" i="13"/>
  <c r="AZ173" i="13"/>
  <c r="AZ174" i="13"/>
  <c r="AU182" i="13"/>
  <c r="AU181" i="13"/>
  <c r="AU179" i="13"/>
  <c r="AU180" i="13"/>
  <c r="AU173" i="13"/>
  <c r="AU176" i="13"/>
  <c r="AU175" i="13"/>
  <c r="AU174" i="13"/>
  <c r="AL179" i="13"/>
  <c r="AL180" i="13"/>
  <c r="AL182" i="13"/>
  <c r="AL181" i="13"/>
  <c r="AL173" i="13"/>
  <c r="AL176" i="13"/>
  <c r="AL175" i="13"/>
  <c r="AL174" i="13"/>
  <c r="AP181" i="13"/>
  <c r="AP180" i="13"/>
  <c r="AP179" i="13"/>
  <c r="AP182" i="13"/>
  <c r="AP173" i="13"/>
  <c r="AP174" i="13"/>
  <c r="AP175" i="13"/>
  <c r="AP176" i="13"/>
  <c r="AG179" i="13"/>
  <c r="AG180" i="13"/>
  <c r="AG182" i="13"/>
  <c r="AG181" i="13"/>
  <c r="AG173" i="13"/>
  <c r="AG174" i="13"/>
  <c r="AG175" i="13"/>
  <c r="AG176" i="13"/>
  <c r="AC237" i="17"/>
  <c r="AQ237" i="17"/>
  <c r="T237" i="17"/>
  <c r="AV237" i="17"/>
  <c r="AH237" i="17"/>
  <c r="BB237" i="17"/>
  <c r="X237" i="17"/>
  <c r="AM237" i="17"/>
  <c r="AM9" i="13"/>
  <c r="AC9" i="13"/>
  <c r="AQ9" i="13"/>
  <c r="BB9" i="13"/>
  <c r="X9" i="13"/>
  <c r="AV9" i="13"/>
  <c r="AH9" i="13"/>
  <c r="AX7" i="13"/>
  <c r="AS7" i="13"/>
  <c r="AR100" i="17"/>
  <c r="AW101" i="17"/>
  <c r="AR101" i="17"/>
  <c r="AQ116" i="17"/>
  <c r="T9" i="13"/>
  <c r="AW100" i="17"/>
  <c r="AV116" i="17"/>
  <c r="BB116" i="17"/>
  <c r="T116" i="17"/>
  <c r="AM116" i="17"/>
  <c r="AH116" i="17"/>
  <c r="X116" i="17"/>
  <c r="AC116" i="17"/>
  <c r="AI101" i="17"/>
  <c r="AI107" i="17" s="1"/>
  <c r="AI100" i="17"/>
  <c r="AJ100" i="17"/>
  <c r="BC101" i="17"/>
  <c r="BD99" i="17"/>
  <c r="BD7" i="13" s="1"/>
  <c r="BC100" i="17"/>
  <c r="AN101" i="17"/>
  <c r="AN107" i="17" s="1"/>
  <c r="AN100" i="17"/>
  <c r="AO100" i="17"/>
  <c r="AX100" i="17"/>
  <c r="Y101" i="17"/>
  <c r="Y107" i="17" s="1"/>
  <c r="Y100" i="17"/>
  <c r="Z100" i="17"/>
  <c r="AD100" i="17"/>
  <c r="AD101" i="17"/>
  <c r="AD107" i="17" s="1"/>
  <c r="AE100" i="17"/>
  <c r="AR106" i="17" l="1"/>
  <c r="AR107" i="17"/>
  <c r="AW106" i="17"/>
  <c r="AW107" i="17"/>
  <c r="BC106" i="17"/>
  <c r="BC107" i="17"/>
  <c r="Y91" i="17"/>
  <c r="BF47" i="32"/>
  <c r="BE61" i="32"/>
  <c r="BE54" i="32"/>
  <c r="BF46" i="32"/>
  <c r="BE60" i="32"/>
  <c r="BE53" i="32"/>
  <c r="BF44" i="32"/>
  <c r="BE58" i="32"/>
  <c r="BE51" i="32"/>
  <c r="BF48" i="32"/>
  <c r="BE62" i="32"/>
  <c r="BE55" i="32"/>
  <c r="BF49" i="32"/>
  <c r="BE63" i="32"/>
  <c r="BE56" i="32"/>
  <c r="BF45" i="32"/>
  <c r="BE59" i="32"/>
  <c r="BE52" i="32"/>
  <c r="C93" i="28"/>
  <c r="D93" i="28" s="1"/>
  <c r="E93" i="28" s="1"/>
  <c r="AN106" i="17"/>
  <c r="AO106" i="17"/>
  <c r="AD106" i="17"/>
  <c r="AE106" i="17"/>
  <c r="Y106" i="17"/>
  <c r="Z106" i="17"/>
  <c r="AI106" i="17"/>
  <c r="AJ106" i="17"/>
  <c r="C86" i="28"/>
  <c r="D86" i="28" s="1"/>
  <c r="E86" i="28" s="1"/>
  <c r="C96" i="28"/>
  <c r="D96" i="28" s="1"/>
  <c r="E96" i="28" s="1"/>
  <c r="BB179" i="13"/>
  <c r="BB181" i="13"/>
  <c r="BB182" i="13"/>
  <c r="BB180" i="13"/>
  <c r="BB175" i="13"/>
  <c r="BB174" i="13"/>
  <c r="BB173" i="13"/>
  <c r="BB176" i="13"/>
  <c r="AH181" i="13"/>
  <c r="AH179" i="13"/>
  <c r="AH182" i="13"/>
  <c r="AH180" i="13"/>
  <c r="AH175" i="13"/>
  <c r="AH176" i="13"/>
  <c r="AH173" i="13"/>
  <c r="AH174" i="13"/>
  <c r="AQ180" i="13"/>
  <c r="AQ181" i="13"/>
  <c r="AQ179" i="13"/>
  <c r="AQ182" i="13"/>
  <c r="AQ173" i="13"/>
  <c r="AQ176" i="13"/>
  <c r="AQ175" i="13"/>
  <c r="AQ174" i="13"/>
  <c r="T180" i="13"/>
  <c r="T179" i="13"/>
  <c r="T181" i="13"/>
  <c r="T182" i="13"/>
  <c r="T176" i="13"/>
  <c r="T174" i="13"/>
  <c r="T173" i="13"/>
  <c r="T175" i="13"/>
  <c r="AV180" i="13"/>
  <c r="AV179" i="13"/>
  <c r="AV182" i="13"/>
  <c r="AV181" i="13"/>
  <c r="AV174" i="13"/>
  <c r="AV173" i="13"/>
  <c r="AV176" i="13"/>
  <c r="AV175" i="13"/>
  <c r="AC182" i="13"/>
  <c r="AC179" i="13"/>
  <c r="AC180" i="13"/>
  <c r="AC181" i="13"/>
  <c r="AC173" i="13"/>
  <c r="AC176" i="13"/>
  <c r="AC174" i="13"/>
  <c r="AC175" i="13"/>
  <c r="X181" i="13"/>
  <c r="X180" i="13"/>
  <c r="X182" i="13"/>
  <c r="X179" i="13"/>
  <c r="X173" i="13"/>
  <c r="X174" i="13"/>
  <c r="X176" i="13"/>
  <c r="X175" i="13"/>
  <c r="AM182" i="13"/>
  <c r="AM180" i="13"/>
  <c r="AM181" i="13"/>
  <c r="AM179" i="13"/>
  <c r="AM174" i="13"/>
  <c r="AM173" i="13"/>
  <c r="AM175" i="13"/>
  <c r="AM176" i="13"/>
  <c r="Y237" i="17"/>
  <c r="AR237" i="17"/>
  <c r="AN237" i="17"/>
  <c r="AI237" i="17"/>
  <c r="AD237" i="17"/>
  <c r="AW237" i="17"/>
  <c r="BC237" i="17"/>
  <c r="AX101" i="17"/>
  <c r="AX107" i="17" s="1"/>
  <c r="AN9" i="13"/>
  <c r="AR9" i="13"/>
  <c r="AI9" i="13"/>
  <c r="AW9" i="13"/>
  <c r="AD9" i="13"/>
  <c r="Y9" i="13"/>
  <c r="BC9" i="13"/>
  <c r="AS101" i="17"/>
  <c r="AS107" i="17" s="1"/>
  <c r="AY100" i="17"/>
  <c r="AT100" i="17"/>
  <c r="AS100" i="17"/>
  <c r="AW116" i="17"/>
  <c r="AR116" i="17"/>
  <c r="AN116" i="17"/>
  <c r="AD116" i="17"/>
  <c r="BC116" i="17"/>
  <c r="Y116" i="17"/>
  <c r="AI116" i="17"/>
  <c r="BD101" i="17"/>
  <c r="BD100" i="17"/>
  <c r="BE99" i="17"/>
  <c r="BE7" i="13" s="1"/>
  <c r="F93" i="28" l="1"/>
  <c r="G93" i="28" s="1"/>
  <c r="H93" i="28" s="1"/>
  <c r="I93" i="28" s="1"/>
  <c r="J93" i="28" s="1"/>
  <c r="K93" i="28" s="1"/>
  <c r="L93" i="28" s="1"/>
  <c r="M93" i="28" s="1"/>
  <c r="N93" i="28" s="1"/>
  <c r="O93" i="28" s="1"/>
  <c r="P93" i="28" s="1"/>
  <c r="Q93" i="28" s="1"/>
  <c r="BD106" i="17"/>
  <c r="BD107" i="17"/>
  <c r="Z91" i="17"/>
  <c r="BG45" i="32"/>
  <c r="BF59" i="32"/>
  <c r="BF52" i="32"/>
  <c r="BG46" i="32"/>
  <c r="BF60" i="32"/>
  <c r="BF53" i="32"/>
  <c r="BG44" i="32"/>
  <c r="BF58" i="32"/>
  <c r="BF51" i="32"/>
  <c r="BG48" i="32"/>
  <c r="BF62" i="32"/>
  <c r="BF55" i="32"/>
  <c r="BG49" i="32"/>
  <c r="BF63" i="32"/>
  <c r="BF56" i="32"/>
  <c r="BG47" i="32"/>
  <c r="BF61" i="32"/>
  <c r="BF54" i="32"/>
  <c r="F86" i="28"/>
  <c r="G86" i="28" s="1"/>
  <c r="H86" i="28" s="1"/>
  <c r="I86" i="28" s="1"/>
  <c r="J86" i="28" s="1"/>
  <c r="K86" i="28" s="1"/>
  <c r="L86" i="28" s="1"/>
  <c r="M86" i="28" s="1"/>
  <c r="N86" i="28" s="1"/>
  <c r="O86" i="28" s="1"/>
  <c r="P86" i="28" s="1"/>
  <c r="Q86" i="28" s="1"/>
  <c r="F96" i="28"/>
  <c r="G96" i="28" s="1"/>
  <c r="H96" i="28" s="1"/>
  <c r="I96" i="28" s="1"/>
  <c r="J96" i="28" s="1"/>
  <c r="K96" i="28" s="1"/>
  <c r="L96" i="28" s="1"/>
  <c r="M96" i="28" s="1"/>
  <c r="N96" i="28" s="1"/>
  <c r="O96" i="28" s="1"/>
  <c r="P96" i="28" s="1"/>
  <c r="Q96" i="28" s="1"/>
  <c r="AX9" i="13"/>
  <c r="AX181" i="13" s="1"/>
  <c r="AX106" i="17"/>
  <c r="AY106" i="17"/>
  <c r="AS106" i="17"/>
  <c r="AT106" i="17"/>
  <c r="AW182" i="13"/>
  <c r="AW179" i="13"/>
  <c r="AW180" i="13"/>
  <c r="AW181" i="13"/>
  <c r="AW175" i="13"/>
  <c r="AW176" i="13"/>
  <c r="AW173" i="13"/>
  <c r="AW174" i="13"/>
  <c r="AD179" i="13"/>
  <c r="AD182" i="13"/>
  <c r="AD181" i="13"/>
  <c r="AD180" i="13"/>
  <c r="AD174" i="13"/>
  <c r="AD175" i="13"/>
  <c r="AD173" i="13"/>
  <c r="AD176" i="13"/>
  <c r="AN180" i="13"/>
  <c r="AN179" i="13"/>
  <c r="AN181" i="13"/>
  <c r="AN182" i="13"/>
  <c r="AN174" i="13"/>
  <c r="AN173" i="13"/>
  <c r="AN175" i="13"/>
  <c r="AN176" i="13"/>
  <c r="BC182" i="13"/>
  <c r="BC180" i="13"/>
  <c r="BC179" i="13"/>
  <c r="BC181" i="13"/>
  <c r="BC174" i="13"/>
  <c r="BC173" i="13"/>
  <c r="BC175" i="13"/>
  <c r="BC176" i="13"/>
  <c r="AI180" i="13"/>
  <c r="AI179" i="13"/>
  <c r="AI182" i="13"/>
  <c r="AI181" i="13"/>
  <c r="AI175" i="13"/>
  <c r="AI173" i="13"/>
  <c r="AI174" i="13"/>
  <c r="AI176" i="13"/>
  <c r="Y180" i="13"/>
  <c r="Y181" i="13"/>
  <c r="Y182" i="13"/>
  <c r="Y179" i="13"/>
  <c r="Y175" i="13"/>
  <c r="Y173" i="13"/>
  <c r="Y174" i="13"/>
  <c r="Y176" i="13"/>
  <c r="AR181" i="13"/>
  <c r="AR182" i="13"/>
  <c r="AR180" i="13"/>
  <c r="AR179" i="13"/>
  <c r="AR173" i="13"/>
  <c r="AR174" i="13"/>
  <c r="AR176" i="13"/>
  <c r="AR175" i="13"/>
  <c r="AX116" i="17"/>
  <c r="AS237" i="17"/>
  <c r="AS116" i="17"/>
  <c r="AX237" i="17"/>
  <c r="BD237" i="17"/>
  <c r="BD9" i="13"/>
  <c r="AS9" i="13"/>
  <c r="BD116" i="17"/>
  <c r="BE101" i="17"/>
  <c r="BF99" i="17"/>
  <c r="BF7" i="13" s="1"/>
  <c r="BE100" i="17"/>
  <c r="BE106" i="17" l="1"/>
  <c r="BE107" i="17"/>
  <c r="AA91" i="17"/>
  <c r="BH47" i="32"/>
  <c r="BG61" i="32"/>
  <c r="BG54" i="32"/>
  <c r="BH46" i="32"/>
  <c r="BG60" i="32"/>
  <c r="BG53" i="32"/>
  <c r="BH44" i="32"/>
  <c r="BG58" i="32"/>
  <c r="BG51" i="32"/>
  <c r="BH48" i="32"/>
  <c r="BG62" i="32"/>
  <c r="BG55" i="32"/>
  <c r="BH49" i="32"/>
  <c r="BG63" i="32"/>
  <c r="BG56" i="32"/>
  <c r="BH45" i="32"/>
  <c r="BG59" i="32"/>
  <c r="BG52" i="32"/>
  <c r="AX173" i="13"/>
  <c r="AX180" i="13"/>
  <c r="AX176" i="13"/>
  <c r="AX182" i="13"/>
  <c r="AX175" i="13"/>
  <c r="AX179" i="13"/>
  <c r="AX174" i="13"/>
  <c r="AS179" i="13"/>
  <c r="AS181" i="13"/>
  <c r="AS182" i="13"/>
  <c r="AS180" i="13"/>
  <c r="AS176" i="13"/>
  <c r="AS175" i="13"/>
  <c r="AS173" i="13"/>
  <c r="AS174" i="13"/>
  <c r="BD179" i="13"/>
  <c r="BD182" i="13"/>
  <c r="BD181" i="13"/>
  <c r="BD180" i="13"/>
  <c r="BD173" i="13"/>
  <c r="BD174" i="13"/>
  <c r="BD175" i="13"/>
  <c r="BD176" i="13"/>
  <c r="BE237" i="17"/>
  <c r="BE9" i="13"/>
  <c r="BE116" i="17"/>
  <c r="BF100" i="17"/>
  <c r="BF101" i="17"/>
  <c r="BG99" i="17"/>
  <c r="BG7" i="13" s="1"/>
  <c r="BF106" i="17" l="1"/>
  <c r="BF107" i="17"/>
  <c r="AB91" i="17"/>
  <c r="BI45" i="32"/>
  <c r="BH59" i="32"/>
  <c r="BH52" i="32"/>
  <c r="BI46" i="32"/>
  <c r="BH53" i="32"/>
  <c r="BH60" i="32"/>
  <c r="BI44" i="32"/>
  <c r="BH58" i="32"/>
  <c r="BH51" i="32"/>
  <c r="BI48" i="32"/>
  <c r="BH55" i="32"/>
  <c r="BH62" i="32"/>
  <c r="BI49" i="32"/>
  <c r="BH63" i="32"/>
  <c r="BH56" i="32"/>
  <c r="BI47" i="32"/>
  <c r="BH61" i="32"/>
  <c r="BH54" i="32"/>
  <c r="BE181" i="13"/>
  <c r="BE182" i="13"/>
  <c r="BE180" i="13"/>
  <c r="BE179" i="13"/>
  <c r="BE173" i="13"/>
  <c r="BE175" i="13"/>
  <c r="BE174" i="13"/>
  <c r="BE176" i="13"/>
  <c r="BF237" i="17"/>
  <c r="BF9" i="13"/>
  <c r="BF116" i="17"/>
  <c r="BG101" i="17"/>
  <c r="BH99" i="17"/>
  <c r="BH7" i="13" s="1"/>
  <c r="BG100" i="17"/>
  <c r="BG106" i="17" l="1"/>
  <c r="BG107" i="17"/>
  <c r="AC91" i="17"/>
  <c r="BI61" i="32"/>
  <c r="BI54" i="32"/>
  <c r="BI60" i="32"/>
  <c r="BI53" i="32"/>
  <c r="BI58" i="32"/>
  <c r="BI51" i="32"/>
  <c r="BI62" i="32"/>
  <c r="BI55" i="32"/>
  <c r="BI63" i="32"/>
  <c r="BI56" i="32"/>
  <c r="BI59" i="32"/>
  <c r="BI52" i="32"/>
  <c r="BF179" i="13"/>
  <c r="BF181" i="13"/>
  <c r="BF180" i="13"/>
  <c r="BF182" i="13"/>
  <c r="BF176" i="13"/>
  <c r="BF173" i="13"/>
  <c r="BF175" i="13"/>
  <c r="BF174" i="13"/>
  <c r="BG237" i="17"/>
  <c r="BG9" i="13"/>
  <c r="BG116" i="17"/>
  <c r="BH101" i="17"/>
  <c r="BH100" i="17"/>
  <c r="BI99" i="17"/>
  <c r="BI7" i="13" s="1"/>
  <c r="BH106" i="17" l="1"/>
  <c r="BH107" i="17"/>
  <c r="AD91" i="17"/>
  <c r="BG181" i="13"/>
  <c r="BG180" i="13"/>
  <c r="BG179" i="13"/>
  <c r="BG182" i="13"/>
  <c r="BG175" i="13"/>
  <c r="BG176" i="13"/>
  <c r="BG173" i="13"/>
  <c r="BG174" i="13"/>
  <c r="BH237" i="17"/>
  <c r="BH9" i="13"/>
  <c r="BH116" i="17"/>
  <c r="BI101" i="17"/>
  <c r="BI100" i="17"/>
  <c r="BI106" i="17" l="1"/>
  <c r="BI107" i="17"/>
  <c r="AE91" i="17"/>
  <c r="BH181" i="13"/>
  <c r="BH179" i="13"/>
  <c r="BH182" i="13"/>
  <c r="BH180" i="13"/>
  <c r="BH175" i="13"/>
  <c r="BH176" i="13"/>
  <c r="BH173" i="13"/>
  <c r="BH174" i="13"/>
  <c r="BI237" i="17"/>
  <c r="BI9" i="13"/>
  <c r="BI116" i="17"/>
  <c r="AF91" i="17" l="1"/>
  <c r="BI179" i="13"/>
  <c r="BI182" i="13"/>
  <c r="BI181" i="13"/>
  <c r="BI180" i="13"/>
  <c r="BI175" i="13"/>
  <c r="BI176" i="13"/>
  <c r="BI174" i="13"/>
  <c r="BI173" i="13"/>
  <c r="A2" i="16"/>
  <c r="AG91" i="17" l="1"/>
  <c r="S21" i="14"/>
  <c r="S19" i="14"/>
  <c r="S36" i="14" s="1"/>
  <c r="AA35" i="14"/>
  <c r="Z35" i="14"/>
  <c r="Y35" i="14"/>
  <c r="AH91" i="17" l="1"/>
  <c r="T52" i="14"/>
  <c r="T10" i="19" s="1"/>
  <c r="AI91" i="17" l="1"/>
  <c r="T10" i="17"/>
  <c r="U24" i="14"/>
  <c r="U23" i="14"/>
  <c r="U22" i="14"/>
  <c r="U21" i="14"/>
  <c r="U19" i="14"/>
  <c r="T24" i="14"/>
  <c r="T23" i="14"/>
  <c r="T22" i="14"/>
  <c r="T21" i="14"/>
  <c r="T19" i="14"/>
  <c r="T36" i="14" s="1"/>
  <c r="AC9" i="14"/>
  <c r="AC14" i="14" s="1"/>
  <c r="AB9" i="14"/>
  <c r="AB14" i="14" s="1"/>
  <c r="Z9" i="14"/>
  <c r="Z14" i="14" s="1"/>
  <c r="Y9" i="14"/>
  <c r="Y14" i="14" s="1"/>
  <c r="W9" i="14"/>
  <c r="W14" i="14" s="1"/>
  <c r="V9" i="14"/>
  <c r="V14" i="14" s="1"/>
  <c r="T9" i="14"/>
  <c r="U20" i="14" s="1"/>
  <c r="S9" i="14"/>
  <c r="T20" i="14" s="1"/>
  <c r="AJ91" i="17" l="1"/>
  <c r="AE52" i="14"/>
  <c r="T35" i="14"/>
  <c r="Q137" i="14" s="1"/>
  <c r="U35" i="14"/>
  <c r="U36" i="14"/>
  <c r="S14" i="14"/>
  <c r="T14" i="14"/>
  <c r="AK91" i="17" l="1"/>
  <c r="R137" i="14"/>
  <c r="R138" i="14"/>
  <c r="Q138" i="14"/>
  <c r="AE10" i="17"/>
  <c r="AE10" i="19"/>
  <c r="AE51" i="14"/>
  <c r="AE9" i="19" s="1"/>
  <c r="AY51" i="14"/>
  <c r="AY9" i="19" s="1"/>
  <c r="AY52" i="14"/>
  <c r="AY10" i="19" s="1"/>
  <c r="U257" i="14"/>
  <c r="U256" i="14"/>
  <c r="T257" i="14"/>
  <c r="T256" i="14"/>
  <c r="AL91" i="17" l="1"/>
  <c r="AY10" i="17"/>
  <c r="AY9" i="17"/>
  <c r="AE9" i="17"/>
  <c r="AZ52" i="14"/>
  <c r="AZ10" i="19" s="1"/>
  <c r="AZ51" i="14"/>
  <c r="AZ9" i="19" s="1"/>
  <c r="B247" i="14"/>
  <c r="B248" i="14"/>
  <c r="B249" i="14"/>
  <c r="AM91" i="17" l="1"/>
  <c r="AZ9" i="17"/>
  <c r="AZ10" i="17"/>
  <c r="BA51" i="14"/>
  <c r="BA9" i="19" s="1"/>
  <c r="BA52" i="14"/>
  <c r="BA10" i="19" s="1"/>
  <c r="B246" i="14"/>
  <c r="AN91" i="17" l="1"/>
  <c r="BA9" i="17"/>
  <c r="BA10" i="17"/>
  <c r="BB52" i="14"/>
  <c r="BB10" i="19" s="1"/>
  <c r="BB51" i="14"/>
  <c r="BB9" i="19" s="1"/>
  <c r="A238" i="14"/>
  <c r="A216" i="14"/>
  <c r="T214" i="14"/>
  <c r="U213" i="14"/>
  <c r="V213" i="14" s="1"/>
  <c r="W213" i="14" s="1"/>
  <c r="X213" i="14" s="1"/>
  <c r="Y213" i="14" s="1"/>
  <c r="Z213" i="14" s="1"/>
  <c r="AA213" i="14" s="1"/>
  <c r="AB213" i="14" s="1"/>
  <c r="AC213" i="14" s="1"/>
  <c r="AD213" i="14" s="1"/>
  <c r="AE213" i="14" s="1"/>
  <c r="AF213" i="14" s="1"/>
  <c r="AG213" i="14" s="1"/>
  <c r="AH213" i="14" s="1"/>
  <c r="AI213" i="14" s="1"/>
  <c r="AJ213" i="14" s="1"/>
  <c r="AK213" i="14" s="1"/>
  <c r="AL213" i="14" s="1"/>
  <c r="AM213" i="14" s="1"/>
  <c r="AN213" i="14" s="1"/>
  <c r="AO213" i="14" s="1"/>
  <c r="AP213" i="14" s="1"/>
  <c r="AQ213" i="14" s="1"/>
  <c r="AR213" i="14" s="1"/>
  <c r="AS213" i="14" s="1"/>
  <c r="AT213" i="14" s="1"/>
  <c r="AU213" i="14" s="1"/>
  <c r="AV213" i="14" s="1"/>
  <c r="AW213" i="14" s="1"/>
  <c r="AX213" i="14" s="1"/>
  <c r="AY213" i="14" s="1"/>
  <c r="AZ213" i="14" s="1"/>
  <c r="BA213" i="14" s="1"/>
  <c r="BB213" i="14" s="1"/>
  <c r="BC213" i="14" s="1"/>
  <c r="BD213" i="14" s="1"/>
  <c r="BE213" i="14" s="1"/>
  <c r="BF213" i="14" s="1"/>
  <c r="BG213" i="14" s="1"/>
  <c r="BH213" i="14" s="1"/>
  <c r="BI213" i="14" s="1"/>
  <c r="AC98" i="14"/>
  <c r="AB98" i="14"/>
  <c r="AC97" i="14"/>
  <c r="AB97" i="14"/>
  <c r="AC96" i="14"/>
  <c r="AB96" i="14"/>
  <c r="AC95" i="14"/>
  <c r="AB95" i="14"/>
  <c r="AC89" i="14"/>
  <c r="AB89" i="14"/>
  <c r="AC88" i="14"/>
  <c r="AB88" i="14"/>
  <c r="AC87" i="14"/>
  <c r="AB87" i="14"/>
  <c r="AC86" i="14"/>
  <c r="AB86" i="14"/>
  <c r="AC85" i="14"/>
  <c r="AB85" i="14"/>
  <c r="U56" i="14"/>
  <c r="V56" i="14" s="1"/>
  <c r="W56" i="14" s="1"/>
  <c r="X56" i="14" s="1"/>
  <c r="Y56" i="14" s="1"/>
  <c r="Z56" i="14" s="1"/>
  <c r="AA56" i="14" s="1"/>
  <c r="AB56" i="14" s="1"/>
  <c r="AC56" i="14" s="1"/>
  <c r="AD56" i="14" s="1"/>
  <c r="AE56" i="14" s="1"/>
  <c r="AF56" i="14" s="1"/>
  <c r="AG56" i="14" s="1"/>
  <c r="AH56" i="14" s="1"/>
  <c r="AI56" i="14" s="1"/>
  <c r="AJ56" i="14" s="1"/>
  <c r="AK56" i="14" s="1"/>
  <c r="AL56" i="14" s="1"/>
  <c r="AM56" i="14" s="1"/>
  <c r="AN56" i="14" s="1"/>
  <c r="AO56" i="14" s="1"/>
  <c r="AP56" i="14" s="1"/>
  <c r="AQ56" i="14" s="1"/>
  <c r="AR56" i="14" s="1"/>
  <c r="AS56" i="14" s="1"/>
  <c r="AT56" i="14" s="1"/>
  <c r="AU56" i="14" s="1"/>
  <c r="AV56" i="14" s="1"/>
  <c r="AW56" i="14" s="1"/>
  <c r="AX56" i="14" s="1"/>
  <c r="AY56" i="14" s="1"/>
  <c r="AZ56" i="14" s="1"/>
  <c r="BA56" i="14" s="1"/>
  <c r="BB56" i="14" s="1"/>
  <c r="BC56" i="14" s="1"/>
  <c r="BD56" i="14" s="1"/>
  <c r="BE56" i="14" s="1"/>
  <c r="BF56" i="14" s="1"/>
  <c r="BG56" i="14" s="1"/>
  <c r="BH56" i="14" s="1"/>
  <c r="BI56" i="14" s="1"/>
  <c r="BJ56" i="14" s="1"/>
  <c r="U49" i="14"/>
  <c r="V49" i="14" s="1"/>
  <c r="W49" i="14" s="1"/>
  <c r="X49" i="14" s="1"/>
  <c r="Y49" i="14" s="1"/>
  <c r="Z49" i="14" s="1"/>
  <c r="AA49" i="14" s="1"/>
  <c r="AB49" i="14" s="1"/>
  <c r="AC49" i="14" s="1"/>
  <c r="AD49" i="14" s="1"/>
  <c r="AE49" i="14" s="1"/>
  <c r="U52" i="14" s="1"/>
  <c r="U10" i="19" s="1"/>
  <c r="AA37" i="14"/>
  <c r="AY58" i="14" s="1"/>
  <c r="AY16" i="19" s="1"/>
  <c r="Z37" i="14"/>
  <c r="AE58" i="14" s="1"/>
  <c r="AE16" i="19" s="1"/>
  <c r="Y37" i="14"/>
  <c r="T58" i="14" s="1"/>
  <c r="T16" i="19" s="1"/>
  <c r="U37" i="14"/>
  <c r="AY53" i="14" s="1"/>
  <c r="AY11" i="19" s="1"/>
  <c r="T37" i="14"/>
  <c r="AE53" i="14" s="1"/>
  <c r="AE11" i="19" s="1"/>
  <c r="S37" i="14"/>
  <c r="T53" i="14" s="1"/>
  <c r="T11" i="19" s="1"/>
  <c r="AR28" i="14"/>
  <c r="AO28" i="14"/>
  <c r="AN28" i="14" s="1"/>
  <c r="AL28" i="14"/>
  <c r="AS26" i="14"/>
  <c r="AS27" i="14" s="1"/>
  <c r="AR27" i="14" s="1"/>
  <c r="AQ26" i="14"/>
  <c r="AQ27" i="14" s="1"/>
  <c r="AP26" i="14"/>
  <c r="AP27" i="14" s="1"/>
  <c r="AM26" i="14"/>
  <c r="AL26" i="14" s="1"/>
  <c r="AO25" i="14"/>
  <c r="AO24" i="14"/>
  <c r="W24" i="14"/>
  <c r="AO23" i="14"/>
  <c r="W23" i="14"/>
  <c r="AO22" i="14"/>
  <c r="W22" i="14"/>
  <c r="AO21" i="14"/>
  <c r="W21" i="14"/>
  <c r="AO20" i="14"/>
  <c r="W20" i="14"/>
  <c r="U34" i="14"/>
  <c r="AY50" i="14" s="1"/>
  <c r="T34" i="14"/>
  <c r="AE50" i="14" s="1"/>
  <c r="AO19" i="14"/>
  <c r="AA19" i="14"/>
  <c r="Z19" i="14"/>
  <c r="Y19" i="14"/>
  <c r="W19" i="14"/>
  <c r="A2" i="14"/>
  <c r="AO91" i="17" l="1"/>
  <c r="AE8" i="19"/>
  <c r="AE12" i="19" s="1"/>
  <c r="AY8" i="19"/>
  <c r="AY12" i="19" s="1"/>
  <c r="AC43" i="17"/>
  <c r="Y43" i="17" s="1"/>
  <c r="Y85" i="14"/>
  <c r="AC173" i="14"/>
  <c r="AC45" i="17"/>
  <c r="Y45" i="17" s="1"/>
  <c r="Y87" i="14"/>
  <c r="AC175" i="14"/>
  <c r="Y89" i="14"/>
  <c r="AC177" i="14"/>
  <c r="AC54" i="17"/>
  <c r="Y54" i="17" s="1"/>
  <c r="AC184" i="14"/>
  <c r="Y96" i="14"/>
  <c r="AC56" i="17"/>
  <c r="Y56" i="17" s="1"/>
  <c r="Y98" i="14"/>
  <c r="AC186" i="14"/>
  <c r="AB44" i="17"/>
  <c r="X44" i="17" s="1"/>
  <c r="AB174" i="14"/>
  <c r="X86" i="14"/>
  <c r="AB46" i="17"/>
  <c r="X46" i="17" s="1"/>
  <c r="X88" i="14"/>
  <c r="AB176" i="14"/>
  <c r="AB183" i="14"/>
  <c r="X95" i="14"/>
  <c r="AB55" i="17"/>
  <c r="X55" i="17" s="1"/>
  <c r="AB185" i="14"/>
  <c r="X97" i="14"/>
  <c r="AC46" i="17"/>
  <c r="Y46" i="17" s="1"/>
  <c r="AC176" i="14"/>
  <c r="Y88" i="14"/>
  <c r="AC44" i="17"/>
  <c r="Y44" i="17" s="1"/>
  <c r="Y86" i="14"/>
  <c r="AC174" i="14"/>
  <c r="Y95" i="14"/>
  <c r="AC183" i="14"/>
  <c r="AC55" i="17"/>
  <c r="Y55" i="17" s="1"/>
  <c r="Y97" i="14"/>
  <c r="AC185" i="14"/>
  <c r="AB43" i="17"/>
  <c r="X43" i="17" s="1"/>
  <c r="AB173" i="14"/>
  <c r="X85" i="14"/>
  <c r="AB45" i="17"/>
  <c r="X45" i="17" s="1"/>
  <c r="AB175" i="14"/>
  <c r="X87" i="14"/>
  <c r="AB177" i="14"/>
  <c r="X89" i="14"/>
  <c r="AB54" i="17"/>
  <c r="X54" i="17" s="1"/>
  <c r="X96" i="14"/>
  <c r="AB184" i="14"/>
  <c r="AB56" i="17"/>
  <c r="X56" i="17" s="1"/>
  <c r="X98" i="14"/>
  <c r="AB186" i="14"/>
  <c r="Q113" i="19"/>
  <c r="R113" i="19"/>
  <c r="R112" i="19"/>
  <c r="Q112" i="19"/>
  <c r="AE8" i="17"/>
  <c r="T11" i="17"/>
  <c r="AE16" i="17"/>
  <c r="BB9" i="17"/>
  <c r="AY8" i="17"/>
  <c r="AE11" i="17"/>
  <c r="AY16" i="17"/>
  <c r="BB10" i="17"/>
  <c r="AY11" i="17"/>
  <c r="U10" i="17"/>
  <c r="T16" i="17"/>
  <c r="AB53" i="17"/>
  <c r="X53" i="17" s="1"/>
  <c r="AC53" i="17"/>
  <c r="Y53" i="17" s="1"/>
  <c r="AB47" i="17"/>
  <c r="AC47" i="17"/>
  <c r="U53" i="14"/>
  <c r="U11" i="19" s="1"/>
  <c r="AF58" i="14"/>
  <c r="AF16" i="19" s="1"/>
  <c r="BC51" i="14"/>
  <c r="BC9" i="19" s="1"/>
  <c r="U58" i="14"/>
  <c r="U16" i="19" s="1"/>
  <c r="AZ53" i="14"/>
  <c r="AZ11" i="19" s="1"/>
  <c r="V52" i="14"/>
  <c r="V10" i="19" s="1"/>
  <c r="BC52" i="14"/>
  <c r="BC10" i="19" s="1"/>
  <c r="AE54" i="14"/>
  <c r="Z34" i="14"/>
  <c r="AE57" i="14" s="1"/>
  <c r="AE15" i="19" s="1"/>
  <c r="Z36" i="14"/>
  <c r="Y34" i="14"/>
  <c r="T57" i="14" s="1"/>
  <c r="T15" i="19" s="1"/>
  <c r="Y36" i="14"/>
  <c r="AA34" i="14"/>
  <c r="AY57" i="14" s="1"/>
  <c r="AY15" i="19" s="1"/>
  <c r="AA36" i="14"/>
  <c r="AF49" i="14"/>
  <c r="AG49" i="14" s="1"/>
  <c r="AH49" i="14" s="1"/>
  <c r="AI49" i="14" s="1"/>
  <c r="AJ49" i="14" s="1"/>
  <c r="AK49" i="14" s="1"/>
  <c r="AL49" i="14" s="1"/>
  <c r="AM49" i="14" s="1"/>
  <c r="AN49" i="14" s="1"/>
  <c r="AO49" i="14" s="1"/>
  <c r="AP49" i="14" s="1"/>
  <c r="AQ49" i="14" s="1"/>
  <c r="AR49" i="14" s="1"/>
  <c r="AS49" i="14" s="1"/>
  <c r="AT49" i="14" s="1"/>
  <c r="AU49" i="14" s="1"/>
  <c r="AV49" i="14" s="1"/>
  <c r="AW49" i="14" s="1"/>
  <c r="AX49" i="14" s="1"/>
  <c r="AY49" i="14" s="1"/>
  <c r="AZ50" i="14"/>
  <c r="AY54" i="14"/>
  <c r="AL24" i="14"/>
  <c r="AR21" i="14"/>
  <c r="AL25" i="14"/>
  <c r="S22" i="14"/>
  <c r="S35" i="14" s="1"/>
  <c r="AR22" i="14"/>
  <c r="AM27" i="14"/>
  <c r="AL27" i="14" s="1"/>
  <c r="AR19" i="14"/>
  <c r="AL21" i="14"/>
  <c r="AR25" i="14"/>
  <c r="AC92" i="14"/>
  <c r="AR20" i="14"/>
  <c r="AR23" i="14"/>
  <c r="AR24" i="14"/>
  <c r="AR26" i="14"/>
  <c r="Q239" i="14"/>
  <c r="T286" i="14" s="1"/>
  <c r="AZ58" i="14"/>
  <c r="AZ16" i="19" s="1"/>
  <c r="AB90" i="14"/>
  <c r="AL23" i="14"/>
  <c r="AL19" i="14"/>
  <c r="AL22" i="14"/>
  <c r="AL20" i="14"/>
  <c r="AB92" i="14"/>
  <c r="AB91" i="14"/>
  <c r="U215" i="14"/>
  <c r="AC94" i="14"/>
  <c r="AC90" i="14"/>
  <c r="AO26" i="14"/>
  <c r="AC91" i="14"/>
  <c r="AB94" i="14"/>
  <c r="AB93" i="14"/>
  <c r="AC93" i="14"/>
  <c r="Q242" i="14"/>
  <c r="Q240" i="14"/>
  <c r="Q238" i="14"/>
  <c r="Q237" i="14"/>
  <c r="Q241" i="14"/>
  <c r="AP91" i="17" l="1"/>
  <c r="AZ8" i="19"/>
  <c r="AY12" i="17"/>
  <c r="AX250" i="17"/>
  <c r="AE12" i="17"/>
  <c r="AD250" i="17"/>
  <c r="AZ12" i="19"/>
  <c r="Y257" i="14"/>
  <c r="X257" i="14"/>
  <c r="AB49" i="17"/>
  <c r="X49" i="17" s="1"/>
  <c r="AB179" i="14"/>
  <c r="X91" i="14"/>
  <c r="Q141" i="14"/>
  <c r="Q140" i="14"/>
  <c r="AB51" i="17"/>
  <c r="X51" i="17" s="1"/>
  <c r="AB181" i="14"/>
  <c r="X93" i="14"/>
  <c r="AB50" i="17"/>
  <c r="X50" i="17" s="1"/>
  <c r="X92" i="14"/>
  <c r="AB180" i="14"/>
  <c r="AC50" i="17"/>
  <c r="Y50" i="17" s="1"/>
  <c r="AC180" i="14"/>
  <c r="Y92" i="14"/>
  <c r="AB52" i="17"/>
  <c r="X52" i="17" s="1"/>
  <c r="X94" i="14"/>
  <c r="AB182" i="14"/>
  <c r="AC52" i="17"/>
  <c r="Y52" i="17" s="1"/>
  <c r="Y94" i="14"/>
  <c r="AC182" i="14"/>
  <c r="AB48" i="17"/>
  <c r="X48" i="17" s="1"/>
  <c r="X90" i="14"/>
  <c r="AB178" i="14"/>
  <c r="P141" i="14"/>
  <c r="P140" i="14"/>
  <c r="AC51" i="17"/>
  <c r="Y51" i="17" s="1"/>
  <c r="Y93" i="14"/>
  <c r="AC181" i="14"/>
  <c r="R141" i="14"/>
  <c r="R140" i="14"/>
  <c r="AC48" i="17"/>
  <c r="Y48" i="17" s="1"/>
  <c r="Y90" i="14"/>
  <c r="AC178" i="14"/>
  <c r="AC49" i="17"/>
  <c r="Y49" i="17" s="1"/>
  <c r="Y91" i="14"/>
  <c r="AC179" i="14"/>
  <c r="P137" i="14"/>
  <c r="P138" i="14"/>
  <c r="Q111" i="19"/>
  <c r="R111" i="19"/>
  <c r="P42" i="14"/>
  <c r="P43" i="14"/>
  <c r="P46" i="14"/>
  <c r="P45" i="14"/>
  <c r="T15" i="17"/>
  <c r="BC10" i="17"/>
  <c r="BC9" i="17"/>
  <c r="V10" i="17"/>
  <c r="AE15" i="17"/>
  <c r="AD251" i="17" s="1"/>
  <c r="AZ11" i="17"/>
  <c r="U11" i="17"/>
  <c r="AZ8" i="17"/>
  <c r="AZ16" i="17"/>
  <c r="AZ57" i="14"/>
  <c r="AZ15" i="19" s="1"/>
  <c r="AY15" i="17"/>
  <c r="AX251" i="17" s="1"/>
  <c r="V58" i="14"/>
  <c r="V16" i="19" s="1"/>
  <c r="U16" i="17"/>
  <c r="X226" i="17"/>
  <c r="X47" i="17"/>
  <c r="AG58" i="14"/>
  <c r="AG16" i="19" s="1"/>
  <c r="AF16" i="17"/>
  <c r="Y47" i="17"/>
  <c r="Y226" i="17"/>
  <c r="V53" i="14"/>
  <c r="V11" i="19" s="1"/>
  <c r="AF51" i="14"/>
  <c r="AF9" i="19" s="1"/>
  <c r="AF52" i="14"/>
  <c r="AF10" i="19" s="1"/>
  <c r="T59" i="14"/>
  <c r="U57" i="14"/>
  <c r="U15" i="19" s="1"/>
  <c r="BD51" i="14"/>
  <c r="BD9" i="19" s="1"/>
  <c r="BA53" i="14"/>
  <c r="BA11" i="19" s="1"/>
  <c r="AF53" i="14"/>
  <c r="AF11" i="19" s="1"/>
  <c r="AF50" i="14"/>
  <c r="BD52" i="14"/>
  <c r="BD10" i="19" s="1"/>
  <c r="BA50" i="14"/>
  <c r="AF57" i="14"/>
  <c r="AF15" i="19" s="1"/>
  <c r="W52" i="14"/>
  <c r="W10" i="19" s="1"/>
  <c r="T51" i="14"/>
  <c r="T9" i="19" s="1"/>
  <c r="AY59" i="14"/>
  <c r="AE59" i="14"/>
  <c r="AZ49" i="14"/>
  <c r="BA49" i="14" s="1"/>
  <c r="BB49" i="14" s="1"/>
  <c r="BC49" i="14" s="1"/>
  <c r="BD49" i="14" s="1"/>
  <c r="BE49" i="14" s="1"/>
  <c r="BF49" i="14" s="1"/>
  <c r="BG49" i="14" s="1"/>
  <c r="BH49" i="14" s="1"/>
  <c r="BI49" i="14" s="1"/>
  <c r="BJ49" i="14" s="1"/>
  <c r="AZ54" i="14"/>
  <c r="S34" i="14"/>
  <c r="T50" i="14" s="1"/>
  <c r="T8" i="19" s="1"/>
  <c r="V215" i="14"/>
  <c r="BA58" i="14"/>
  <c r="BA16" i="19" s="1"/>
  <c r="AN26" i="14"/>
  <c r="AN25" i="14"/>
  <c r="AN24" i="14"/>
  <c r="AN19" i="14"/>
  <c r="AN23" i="14"/>
  <c r="AN21" i="14"/>
  <c r="AN20" i="14"/>
  <c r="AN22" i="14"/>
  <c r="AO27" i="14"/>
  <c r="AN27" i="14" s="1"/>
  <c r="AQ91" i="17" l="1"/>
  <c r="BA8" i="19"/>
  <c r="BA12" i="19" s="1"/>
  <c r="AF8" i="19"/>
  <c r="AF12" i="19" s="1"/>
  <c r="AZ12" i="17"/>
  <c r="AY250" i="17"/>
  <c r="T153" i="14"/>
  <c r="AZ59" i="14"/>
  <c r="T154" i="14"/>
  <c r="R36" i="19"/>
  <c r="P36" i="19"/>
  <c r="Q36" i="19"/>
  <c r="T12" i="19"/>
  <c r="AF8" i="17"/>
  <c r="V11" i="17"/>
  <c r="AF11" i="17"/>
  <c r="W10" i="17"/>
  <c r="BA16" i="17"/>
  <c r="BA8" i="17"/>
  <c r="BA11" i="17"/>
  <c r="AF10" i="17"/>
  <c r="AZ15" i="17"/>
  <c r="AY251" i="17" s="1"/>
  <c r="BD10" i="17"/>
  <c r="BD9" i="17"/>
  <c r="AF9" i="17"/>
  <c r="BA57" i="14"/>
  <c r="U51" i="14"/>
  <c r="U9" i="19" s="1"/>
  <c r="T9" i="17"/>
  <c r="V57" i="14"/>
  <c r="V15" i="19" s="1"/>
  <c r="U15" i="17"/>
  <c r="T251" i="17" s="1"/>
  <c r="AH58" i="14"/>
  <c r="AH16" i="19" s="1"/>
  <c r="AG16" i="17"/>
  <c r="W58" i="14"/>
  <c r="W16" i="19" s="1"/>
  <c r="V16" i="17"/>
  <c r="AG57" i="14"/>
  <c r="AG15" i="19" s="1"/>
  <c r="AF15" i="17"/>
  <c r="AE251" i="17" s="1"/>
  <c r="U50" i="14"/>
  <c r="T8" i="17"/>
  <c r="BB50" i="14"/>
  <c r="AF54" i="14"/>
  <c r="X52" i="14"/>
  <c r="X10" i="19" s="1"/>
  <c r="BE52" i="14"/>
  <c r="BE10" i="19" s="1"/>
  <c r="BB53" i="14"/>
  <c r="BB11" i="19" s="1"/>
  <c r="AG51" i="14"/>
  <c r="AG9" i="19" s="1"/>
  <c r="BA54" i="14"/>
  <c r="AG50" i="14"/>
  <c r="BE51" i="14"/>
  <c r="BE9" i="19" s="1"/>
  <c r="AG53" i="14"/>
  <c r="AG11" i="19" s="1"/>
  <c r="W53" i="14"/>
  <c r="W11" i="19" s="1"/>
  <c r="AG52" i="14"/>
  <c r="AG10" i="19" s="1"/>
  <c r="AF59" i="14"/>
  <c r="U59" i="14"/>
  <c r="T54" i="14"/>
  <c r="W215" i="14"/>
  <c r="BB58" i="14"/>
  <c r="BB16" i="19" s="1"/>
  <c r="A125" i="13"/>
  <c r="A124" i="13"/>
  <c r="A123" i="13"/>
  <c r="A122" i="13"/>
  <c r="A113" i="13"/>
  <c r="A112" i="13"/>
  <c r="A111" i="13"/>
  <c r="A110" i="13"/>
  <c r="A88" i="13"/>
  <c r="A93" i="13" s="1"/>
  <c r="A87" i="13"/>
  <c r="A92" i="13" s="1"/>
  <c r="A86" i="13"/>
  <c r="A91" i="13" s="1"/>
  <c r="A85" i="13"/>
  <c r="A90" i="13" s="1"/>
  <c r="A76" i="13"/>
  <c r="A81" i="13" s="1"/>
  <c r="A75" i="13"/>
  <c r="A80" i="13" s="1"/>
  <c r="A74" i="13"/>
  <c r="A79" i="13" s="1"/>
  <c r="A73" i="13"/>
  <c r="A78" i="13" s="1"/>
  <c r="B66" i="13"/>
  <c r="B65" i="13"/>
  <c r="B64" i="13"/>
  <c r="V57" i="13"/>
  <c r="V56" i="13"/>
  <c r="V55" i="13"/>
  <c r="V54" i="13"/>
  <c r="V47" i="13"/>
  <c r="V46" i="13"/>
  <c r="V45" i="13"/>
  <c r="V44" i="13"/>
  <c r="A2" i="13"/>
  <c r="T58" i="8"/>
  <c r="S58" i="8"/>
  <c r="R58" i="8"/>
  <c r="Q58" i="8"/>
  <c r="P58" i="8"/>
  <c r="O58" i="8"/>
  <c r="N58" i="8"/>
  <c r="M58" i="8"/>
  <c r="L58" i="8"/>
  <c r="K58" i="8"/>
  <c r="J58" i="8"/>
  <c r="I58" i="8"/>
  <c r="H58" i="8"/>
  <c r="G58" i="8"/>
  <c r="F58" i="8"/>
  <c r="E58" i="8"/>
  <c r="D58" i="8"/>
  <c r="AY23" i="8"/>
  <c r="AY26" i="8" s="1"/>
  <c r="AX23" i="8"/>
  <c r="AX26" i="8" s="1"/>
  <c r="AW23" i="8"/>
  <c r="AW26" i="8" s="1"/>
  <c r="AV23" i="8"/>
  <c r="AV26" i="8" s="1"/>
  <c r="AU23" i="8"/>
  <c r="AU26" i="8" s="1"/>
  <c r="AT23" i="8"/>
  <c r="AT26" i="8" s="1"/>
  <c r="AS23" i="8"/>
  <c r="AS26" i="8" s="1"/>
  <c r="AR23" i="8"/>
  <c r="AR26" i="8" s="1"/>
  <c r="AQ23" i="8"/>
  <c r="AQ26" i="8" s="1"/>
  <c r="AP23" i="8"/>
  <c r="AP26" i="8" s="1"/>
  <c r="AO23" i="8"/>
  <c r="AO26" i="8" s="1"/>
  <c r="AN23" i="8"/>
  <c r="AN26" i="8" s="1"/>
  <c r="AM23" i="8"/>
  <c r="AM26" i="8" s="1"/>
  <c r="AL23" i="8"/>
  <c r="AL26" i="8" s="1"/>
  <c r="AK23" i="8"/>
  <c r="AK26" i="8" s="1"/>
  <c r="AJ23" i="8"/>
  <c r="AJ26" i="8" s="1"/>
  <c r="AI23" i="8"/>
  <c r="AI26" i="8" s="1"/>
  <c r="AH23" i="8"/>
  <c r="AH26" i="8" s="1"/>
  <c r="AG23" i="8"/>
  <c r="AG26" i="8" s="1"/>
  <c r="AF23" i="8"/>
  <c r="AF26" i="8" s="1"/>
  <c r="AE23" i="8"/>
  <c r="AE26" i="8" s="1"/>
  <c r="AD23" i="8"/>
  <c r="AD26" i="8" s="1"/>
  <c r="AC23" i="8"/>
  <c r="AC26" i="8" s="1"/>
  <c r="AB23" i="8"/>
  <c r="AB26" i="8" s="1"/>
  <c r="AA23" i="8"/>
  <c r="AA26" i="8" s="1"/>
  <c r="Z23" i="8"/>
  <c r="Z26" i="8" s="1"/>
  <c r="Y23" i="8"/>
  <c r="Y26" i="8" s="1"/>
  <c r="X23" i="8"/>
  <c r="X26" i="8" s="1"/>
  <c r="W23" i="8"/>
  <c r="W26" i="8" s="1"/>
  <c r="V23" i="8"/>
  <c r="U23" i="8"/>
  <c r="T23" i="8"/>
  <c r="S23" i="8"/>
  <c r="R23" i="8"/>
  <c r="Q23" i="8"/>
  <c r="T13" i="8"/>
  <c r="T16" i="8" s="1"/>
  <c r="T56" i="8" s="1"/>
  <c r="S13" i="8"/>
  <c r="S16" i="8" s="1"/>
  <c r="R13" i="8"/>
  <c r="R16" i="8" s="1"/>
  <c r="Q13" i="8"/>
  <c r="Q16" i="8" s="1"/>
  <c r="P13" i="8"/>
  <c r="P16" i="8" s="1"/>
  <c r="P56" i="8" s="1"/>
  <c r="O13" i="8"/>
  <c r="O16" i="8" s="1"/>
  <c r="N13" i="8"/>
  <c r="N16" i="8" s="1"/>
  <c r="M13" i="8"/>
  <c r="M16" i="8" s="1"/>
  <c r="L13" i="8"/>
  <c r="L16" i="8" s="1"/>
  <c r="L56" i="8" s="1"/>
  <c r="K13" i="8"/>
  <c r="K16" i="8" s="1"/>
  <c r="J13" i="8"/>
  <c r="J16" i="8" s="1"/>
  <c r="I13" i="8"/>
  <c r="I16" i="8" s="1"/>
  <c r="H13" i="8"/>
  <c r="H16" i="8" s="1"/>
  <c r="H56" i="8" s="1"/>
  <c r="G13" i="8"/>
  <c r="G16" i="8" s="1"/>
  <c r="F13" i="8"/>
  <c r="F16" i="8" s="1"/>
  <c r="E13" i="8"/>
  <c r="E16" i="8" s="1"/>
  <c r="D13" i="8"/>
  <c r="D16" i="8" s="1"/>
  <c r="D56" i="8" s="1"/>
  <c r="C13" i="8"/>
  <c r="C16" i="8" s="1"/>
  <c r="C1" i="8"/>
  <c r="D1" i="8" s="1"/>
  <c r="E1" i="8" s="1"/>
  <c r="F1" i="8" s="1"/>
  <c r="G1" i="8" s="1"/>
  <c r="H1" i="8" s="1"/>
  <c r="I1" i="8" s="1"/>
  <c r="J1" i="8" s="1"/>
  <c r="K1" i="8" s="1"/>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R91" i="17" l="1"/>
  <c r="W61" i="8"/>
  <c r="W56" i="8"/>
  <c r="U8" i="19"/>
  <c r="U12" i="19" s="1"/>
  <c r="BB8" i="19"/>
  <c r="BB12" i="19" s="1"/>
  <c r="BA12" i="17"/>
  <c r="AZ250" i="17"/>
  <c r="AG8" i="19"/>
  <c r="AG12" i="19" s="1"/>
  <c r="AE250" i="17"/>
  <c r="B63" i="13"/>
  <c r="P88" i="13" s="1"/>
  <c r="T36" i="19"/>
  <c r="P101" i="19" s="1"/>
  <c r="V36" i="19"/>
  <c r="R101" i="19" s="1"/>
  <c r="U36" i="19"/>
  <c r="Q101" i="19" s="1"/>
  <c r="U186" i="14"/>
  <c r="U182" i="14"/>
  <c r="U178" i="14"/>
  <c r="U174" i="14"/>
  <c r="U180" i="14"/>
  <c r="U179" i="14"/>
  <c r="U185" i="14"/>
  <c r="U181" i="14"/>
  <c r="U177" i="14"/>
  <c r="U173" i="14"/>
  <c r="U176" i="14"/>
  <c r="U183" i="14"/>
  <c r="U184" i="14"/>
  <c r="U175" i="14"/>
  <c r="T184" i="14"/>
  <c r="X184" i="14" s="1"/>
  <c r="T180" i="14"/>
  <c r="X180" i="14" s="1"/>
  <c r="T176" i="14"/>
  <c r="X176" i="14" s="1"/>
  <c r="T186" i="14"/>
  <c r="X186" i="14" s="1"/>
  <c r="T178" i="14"/>
  <c r="X178" i="14" s="1"/>
  <c r="T183" i="14"/>
  <c r="X183" i="14" s="1"/>
  <c r="T179" i="14"/>
  <c r="U228" i="14" s="1"/>
  <c r="T175" i="14"/>
  <c r="X175" i="14" s="1"/>
  <c r="T182" i="14"/>
  <c r="X182" i="14" s="1"/>
  <c r="T185" i="14"/>
  <c r="X185" i="14" s="1"/>
  <c r="T173" i="14"/>
  <c r="X173" i="14" s="1"/>
  <c r="T174" i="14"/>
  <c r="X174" i="14" s="1"/>
  <c r="T181" i="14"/>
  <c r="X181" i="14" s="1"/>
  <c r="T177" i="14"/>
  <c r="X177" i="14" s="1"/>
  <c r="T46" i="31"/>
  <c r="Y179" i="14"/>
  <c r="E56" i="8"/>
  <c r="E61" i="8"/>
  <c r="J56" i="8"/>
  <c r="J61" i="8"/>
  <c r="AA61" i="8"/>
  <c r="AA56" i="8"/>
  <c r="AE61" i="8"/>
  <c r="AE56" i="8"/>
  <c r="AI61" i="8"/>
  <c r="AI56" i="8"/>
  <c r="AM61" i="8"/>
  <c r="AM56" i="8"/>
  <c r="AQ61" i="8"/>
  <c r="AQ56" i="8"/>
  <c r="AU61" i="8"/>
  <c r="AU56" i="8"/>
  <c r="AY61" i="8"/>
  <c r="AY56" i="8"/>
  <c r="M56" i="8"/>
  <c r="M61" i="8"/>
  <c r="Q56" i="8"/>
  <c r="Q61" i="8"/>
  <c r="X56" i="8"/>
  <c r="X61" i="8"/>
  <c r="AB56" i="8"/>
  <c r="AB61" i="8"/>
  <c r="AF56" i="8"/>
  <c r="AF61" i="8"/>
  <c r="AJ56" i="8"/>
  <c r="AJ61" i="8"/>
  <c r="AN56" i="8"/>
  <c r="AN61" i="8"/>
  <c r="AR56" i="8"/>
  <c r="AR61" i="8"/>
  <c r="AV56" i="8"/>
  <c r="AV61" i="8"/>
  <c r="AY24" i="8"/>
  <c r="AZ22" i="8" s="1"/>
  <c r="AZ1" i="8"/>
  <c r="BA1" i="8" s="1"/>
  <c r="BB1" i="8" s="1"/>
  <c r="BC1" i="8" s="1"/>
  <c r="BD1" i="8" s="1"/>
  <c r="BE1" i="8" s="1"/>
  <c r="BF1" i="8" s="1"/>
  <c r="BG1" i="8" s="1"/>
  <c r="BH1" i="8" s="1"/>
  <c r="BI1" i="8" s="1"/>
  <c r="N56" i="8"/>
  <c r="N61" i="8"/>
  <c r="R56" i="8"/>
  <c r="R61" i="8"/>
  <c r="Y56" i="8"/>
  <c r="Y61" i="8"/>
  <c r="AC56" i="8"/>
  <c r="AC61" i="8"/>
  <c r="AG56" i="8"/>
  <c r="AG61" i="8"/>
  <c r="AK56" i="8"/>
  <c r="AK61" i="8"/>
  <c r="AO56" i="8"/>
  <c r="AO61" i="8"/>
  <c r="AS56" i="8"/>
  <c r="AS61" i="8"/>
  <c r="AW56" i="8"/>
  <c r="AW61" i="8"/>
  <c r="I56" i="8"/>
  <c r="I61" i="8"/>
  <c r="F56" i="8"/>
  <c r="F61" i="8"/>
  <c r="G61" i="8"/>
  <c r="G56" i="8"/>
  <c r="K61" i="8"/>
  <c r="K56" i="8"/>
  <c r="O61" i="8"/>
  <c r="O56" i="8"/>
  <c r="S61" i="8"/>
  <c r="S56" i="8"/>
  <c r="Z56" i="8"/>
  <c r="Z61" i="8"/>
  <c r="AD56" i="8"/>
  <c r="AD61" i="8"/>
  <c r="AH56" i="8"/>
  <c r="AH61" i="8"/>
  <c r="AL56" i="8"/>
  <c r="AL61" i="8"/>
  <c r="AP56" i="8"/>
  <c r="AP61" i="8"/>
  <c r="AT56" i="8"/>
  <c r="AT61" i="8"/>
  <c r="AX56" i="8"/>
  <c r="AX61" i="8"/>
  <c r="D61" i="8"/>
  <c r="H61" i="8"/>
  <c r="L61" i="8"/>
  <c r="P61" i="8"/>
  <c r="T61" i="8"/>
  <c r="BA59" i="14"/>
  <c r="BA15" i="19"/>
  <c r="BB57" i="14"/>
  <c r="AF12" i="17"/>
  <c r="T12" i="17"/>
  <c r="W11" i="17"/>
  <c r="X10" i="17"/>
  <c r="U8" i="17"/>
  <c r="T250" i="17" s="1"/>
  <c r="AG11" i="17"/>
  <c r="AG9" i="17"/>
  <c r="BE9" i="17"/>
  <c r="BB8" i="17"/>
  <c r="AG59" i="14"/>
  <c r="BA15" i="17"/>
  <c r="AZ251" i="17" s="1"/>
  <c r="BB16" i="17"/>
  <c r="AG10" i="17"/>
  <c r="AG8" i="17"/>
  <c r="AF250" i="17" s="1"/>
  <c r="BE10" i="17"/>
  <c r="U9" i="17"/>
  <c r="V50" i="14"/>
  <c r="U54" i="14"/>
  <c r="V51" i="14"/>
  <c r="AH57" i="14"/>
  <c r="AH15" i="19" s="1"/>
  <c r="AG15" i="17"/>
  <c r="AF251" i="17" s="1"/>
  <c r="X58" i="14"/>
  <c r="X16" i="19" s="1"/>
  <c r="W16" i="17"/>
  <c r="W57" i="14"/>
  <c r="W15" i="19" s="1"/>
  <c r="V15" i="17"/>
  <c r="U251" i="17" s="1"/>
  <c r="BB54" i="14"/>
  <c r="BB11" i="17"/>
  <c r="AI58" i="14"/>
  <c r="AI16" i="19" s="1"/>
  <c r="AH16" i="17"/>
  <c r="BC50" i="14"/>
  <c r="AG54" i="14"/>
  <c r="X53" i="14"/>
  <c r="X11" i="19" s="1"/>
  <c r="BF51" i="14"/>
  <c r="BF9" i="19" s="1"/>
  <c r="BF52" i="14"/>
  <c r="BF10" i="19" s="1"/>
  <c r="AH50" i="14"/>
  <c r="Y52" i="14"/>
  <c r="Y10" i="19" s="1"/>
  <c r="AH52" i="14"/>
  <c r="AH10" i="19" s="1"/>
  <c r="AH51" i="14"/>
  <c r="AH9" i="19" s="1"/>
  <c r="AH53" i="14"/>
  <c r="AH11" i="19" s="1"/>
  <c r="BC53" i="14"/>
  <c r="BC11" i="19" s="1"/>
  <c r="V59" i="14"/>
  <c r="X215" i="14"/>
  <c r="BC58" i="14"/>
  <c r="BC16" i="19" s="1"/>
  <c r="T237" i="24" l="1"/>
  <c r="U237" i="24" s="1"/>
  <c r="V237" i="24" s="1"/>
  <c r="W237" i="24" s="1"/>
  <c r="X237" i="24" s="1"/>
  <c r="Y237" i="24" s="1"/>
  <c r="Z237" i="24" s="1"/>
  <c r="AA237" i="24" s="1"/>
  <c r="AB237" i="24" s="1"/>
  <c r="AC237" i="24" s="1"/>
  <c r="AD237" i="24" s="1"/>
  <c r="AE237" i="24" s="1"/>
  <c r="AF237" i="24" s="1"/>
  <c r="AG237" i="24" s="1"/>
  <c r="AH237" i="24" s="1"/>
  <c r="AI237" i="24" s="1"/>
  <c r="AJ237" i="24" s="1"/>
  <c r="AK237" i="24" s="1"/>
  <c r="AL237" i="24" s="1"/>
  <c r="AM237" i="24" s="1"/>
  <c r="AN237" i="24" s="1"/>
  <c r="AO237" i="24" s="1"/>
  <c r="AP237" i="24" s="1"/>
  <c r="AQ237" i="24" s="1"/>
  <c r="AR237" i="24" s="1"/>
  <c r="AS237" i="24" s="1"/>
  <c r="AT237" i="24" s="1"/>
  <c r="AU237" i="24" s="1"/>
  <c r="AV237" i="24" s="1"/>
  <c r="AW237" i="24" s="1"/>
  <c r="AX237" i="24" s="1"/>
  <c r="AY237" i="24" s="1"/>
  <c r="T235" i="24"/>
  <c r="U235" i="24" s="1"/>
  <c r="V235" i="24" s="1"/>
  <c r="W235" i="24" s="1"/>
  <c r="X235" i="24" s="1"/>
  <c r="Y235" i="24" s="1"/>
  <c r="Z235" i="24" s="1"/>
  <c r="AA235" i="24" s="1"/>
  <c r="AB235" i="24" s="1"/>
  <c r="AC235" i="24" s="1"/>
  <c r="AD235" i="24" s="1"/>
  <c r="AE235" i="24" s="1"/>
  <c r="AF235" i="24" s="1"/>
  <c r="AG235" i="24" s="1"/>
  <c r="AH235" i="24" s="1"/>
  <c r="AI235" i="24" s="1"/>
  <c r="AJ235" i="24" s="1"/>
  <c r="AK235" i="24" s="1"/>
  <c r="AL235" i="24" s="1"/>
  <c r="AM235" i="24" s="1"/>
  <c r="AN235" i="24" s="1"/>
  <c r="AO235" i="24" s="1"/>
  <c r="AP235" i="24" s="1"/>
  <c r="AQ235" i="24" s="1"/>
  <c r="AR235" i="24" s="1"/>
  <c r="AS235" i="24" s="1"/>
  <c r="AT235" i="24" s="1"/>
  <c r="AU235" i="24" s="1"/>
  <c r="AV235" i="24" s="1"/>
  <c r="AW235" i="24" s="1"/>
  <c r="AX235" i="24" s="1"/>
  <c r="AY235" i="24" s="1"/>
  <c r="T236" i="24"/>
  <c r="U236" i="24" s="1"/>
  <c r="V236" i="24" s="1"/>
  <c r="W236" i="24" s="1"/>
  <c r="X236" i="24" s="1"/>
  <c r="Y236" i="24" s="1"/>
  <c r="Z236" i="24" s="1"/>
  <c r="AA236" i="24" s="1"/>
  <c r="AB236" i="24" s="1"/>
  <c r="AC236" i="24" s="1"/>
  <c r="AD236" i="24" s="1"/>
  <c r="AE236" i="24" s="1"/>
  <c r="AF236" i="24" s="1"/>
  <c r="AG236" i="24" s="1"/>
  <c r="AH236" i="24" s="1"/>
  <c r="AI236" i="24" s="1"/>
  <c r="AJ236" i="24" s="1"/>
  <c r="AK236" i="24" s="1"/>
  <c r="AL236" i="24" s="1"/>
  <c r="AM236" i="24" s="1"/>
  <c r="AN236" i="24" s="1"/>
  <c r="AO236" i="24" s="1"/>
  <c r="AP236" i="24" s="1"/>
  <c r="AQ236" i="24" s="1"/>
  <c r="AR236" i="24" s="1"/>
  <c r="AS236" i="24" s="1"/>
  <c r="AT236" i="24" s="1"/>
  <c r="AU236" i="24" s="1"/>
  <c r="AV236" i="24" s="1"/>
  <c r="AW236" i="24" s="1"/>
  <c r="AX236" i="24" s="1"/>
  <c r="AY236" i="24" s="1"/>
  <c r="T233" i="24"/>
  <c r="U233" i="24" s="1"/>
  <c r="V233" i="24" s="1"/>
  <c r="W233" i="24" s="1"/>
  <c r="X233" i="24" s="1"/>
  <c r="Y233" i="24" s="1"/>
  <c r="Z233" i="24" s="1"/>
  <c r="AA233" i="24" s="1"/>
  <c r="AB233" i="24" s="1"/>
  <c r="AC233" i="24" s="1"/>
  <c r="AD233" i="24" s="1"/>
  <c r="AE233" i="24" s="1"/>
  <c r="AF233" i="24" s="1"/>
  <c r="AG233" i="24" s="1"/>
  <c r="AH233" i="24" s="1"/>
  <c r="AI233" i="24" s="1"/>
  <c r="AJ233" i="24" s="1"/>
  <c r="AK233" i="24" s="1"/>
  <c r="AL233" i="24" s="1"/>
  <c r="AM233" i="24" s="1"/>
  <c r="AN233" i="24" s="1"/>
  <c r="AO233" i="24" s="1"/>
  <c r="AP233" i="24" s="1"/>
  <c r="AQ233" i="24" s="1"/>
  <c r="AR233" i="24" s="1"/>
  <c r="AS233" i="24" s="1"/>
  <c r="AT233" i="24" s="1"/>
  <c r="AU233" i="24" s="1"/>
  <c r="AV233" i="24" s="1"/>
  <c r="AW233" i="24" s="1"/>
  <c r="AX233" i="24" s="1"/>
  <c r="AY233" i="24" s="1"/>
  <c r="T234" i="24"/>
  <c r="U234" i="24" s="1"/>
  <c r="V234" i="24" s="1"/>
  <c r="W234" i="24" s="1"/>
  <c r="X234" i="24" s="1"/>
  <c r="Y234" i="24" s="1"/>
  <c r="Z234" i="24" s="1"/>
  <c r="AA234" i="24" s="1"/>
  <c r="AB234" i="24" s="1"/>
  <c r="AC234" i="24" s="1"/>
  <c r="AD234" i="24" s="1"/>
  <c r="AE234" i="24" s="1"/>
  <c r="AF234" i="24" s="1"/>
  <c r="AG234" i="24" s="1"/>
  <c r="AH234" i="24" s="1"/>
  <c r="AI234" i="24" s="1"/>
  <c r="AJ234" i="24" s="1"/>
  <c r="AK234" i="24" s="1"/>
  <c r="AL234" i="24" s="1"/>
  <c r="AM234" i="24" s="1"/>
  <c r="AN234" i="24" s="1"/>
  <c r="AO234" i="24" s="1"/>
  <c r="AP234" i="24" s="1"/>
  <c r="AQ234" i="24" s="1"/>
  <c r="AR234" i="24" s="1"/>
  <c r="AS234" i="24" s="1"/>
  <c r="AT234" i="24" s="1"/>
  <c r="AU234" i="24" s="1"/>
  <c r="AV234" i="24" s="1"/>
  <c r="AW234" i="24" s="1"/>
  <c r="AX234" i="24" s="1"/>
  <c r="AY234" i="24" s="1"/>
  <c r="AS91" i="17"/>
  <c r="T311" i="14"/>
  <c r="T302" i="14"/>
  <c r="T308" i="14"/>
  <c r="T309" i="14"/>
  <c r="T305" i="14"/>
  <c r="Y184" i="14"/>
  <c r="T326" i="14"/>
  <c r="U326" i="14"/>
  <c r="V326" i="14"/>
  <c r="Y177" i="14"/>
  <c r="T319" i="14"/>
  <c r="U319" i="14"/>
  <c r="V319" i="14"/>
  <c r="Y186" i="14"/>
  <c r="T328" i="14"/>
  <c r="U328" i="14"/>
  <c r="V328" i="14"/>
  <c r="T303" i="14"/>
  <c r="Y174" i="14"/>
  <c r="T316" i="14"/>
  <c r="U316" i="14"/>
  <c r="V316" i="14"/>
  <c r="Y176" i="14"/>
  <c r="T318" i="14"/>
  <c r="U318" i="14"/>
  <c r="V318" i="14"/>
  <c r="Y185" i="14"/>
  <c r="T327" i="14"/>
  <c r="U327" i="14"/>
  <c r="V327" i="14"/>
  <c r="Y178" i="14"/>
  <c r="T320" i="14"/>
  <c r="U320" i="14"/>
  <c r="V320" i="14"/>
  <c r="T304" i="14"/>
  <c r="T307" i="14"/>
  <c r="T313" i="14"/>
  <c r="Y180" i="14"/>
  <c r="T322" i="14"/>
  <c r="U322" i="14"/>
  <c r="V322" i="14"/>
  <c r="Y183" i="14"/>
  <c r="T325" i="14"/>
  <c r="U325" i="14"/>
  <c r="V325" i="14"/>
  <c r="Y181" i="14"/>
  <c r="T323" i="14"/>
  <c r="U323" i="14"/>
  <c r="V323" i="14"/>
  <c r="T300" i="14"/>
  <c r="T310" i="14"/>
  <c r="Y175" i="14"/>
  <c r="T317" i="14"/>
  <c r="U317" i="14"/>
  <c r="V317" i="14"/>
  <c r="Y173" i="14"/>
  <c r="T315" i="14"/>
  <c r="U315" i="14"/>
  <c r="V315" i="14"/>
  <c r="T321" i="14"/>
  <c r="U321" i="14"/>
  <c r="V321" i="14"/>
  <c r="Y182" i="14"/>
  <c r="T324" i="14"/>
  <c r="U324" i="14"/>
  <c r="V324" i="14"/>
  <c r="T306" i="14"/>
  <c r="T312" i="14"/>
  <c r="T301" i="14"/>
  <c r="P75" i="13"/>
  <c r="BI75" i="13" s="1"/>
  <c r="BI106" i="13" s="1"/>
  <c r="P80" i="13"/>
  <c r="S80" i="13" s="1"/>
  <c r="P87" i="13"/>
  <c r="BC87" i="13" s="1"/>
  <c r="BC118" i="13" s="1"/>
  <c r="P86" i="13"/>
  <c r="BE86" i="13" s="1"/>
  <c r="BE117" i="13" s="1"/>
  <c r="P79" i="13"/>
  <c r="S79" i="13" s="1"/>
  <c r="P93" i="13"/>
  <c r="S93" i="13" s="1"/>
  <c r="P91" i="13"/>
  <c r="S91" i="13" s="1"/>
  <c r="P85" i="13"/>
  <c r="BC85" i="13" s="1"/>
  <c r="P92" i="13"/>
  <c r="S92" i="13" s="1"/>
  <c r="P90" i="13"/>
  <c r="S90" i="13" s="1"/>
  <c r="P74" i="13"/>
  <c r="BG74" i="13" s="1"/>
  <c r="BG105" i="13" s="1"/>
  <c r="P73" i="13"/>
  <c r="BI73" i="13" s="1"/>
  <c r="BI104" i="13" s="1"/>
  <c r="P78" i="13"/>
  <c r="S78" i="13" s="1"/>
  <c r="P76" i="13"/>
  <c r="BG76" i="13" s="1"/>
  <c r="BG107" i="13" s="1"/>
  <c r="BB12" i="17"/>
  <c r="BA250" i="17"/>
  <c r="AH8" i="19"/>
  <c r="AH12" i="19" s="1"/>
  <c r="BB59" i="14"/>
  <c r="AV75" i="13"/>
  <c r="AV106" i="13" s="1"/>
  <c r="BI88" i="13"/>
  <c r="BI119" i="13" s="1"/>
  <c r="BE88" i="13"/>
  <c r="BE119" i="13" s="1"/>
  <c r="BA88" i="13"/>
  <c r="BA119" i="13" s="1"/>
  <c r="AW88" i="13"/>
  <c r="AW119" i="13" s="1"/>
  <c r="AS88" i="13"/>
  <c r="AS119" i="13" s="1"/>
  <c r="AO88" i="13"/>
  <c r="AO119" i="13" s="1"/>
  <c r="AK88" i="13"/>
  <c r="AK119" i="13" s="1"/>
  <c r="AG88" i="13"/>
  <c r="AG119" i="13" s="1"/>
  <c r="AC88" i="13"/>
  <c r="AC119" i="13" s="1"/>
  <c r="Y88" i="13"/>
  <c r="Y119" i="13" s="1"/>
  <c r="U88" i="13"/>
  <c r="U119" i="13" s="1"/>
  <c r="BH88" i="13"/>
  <c r="BH119" i="13" s="1"/>
  <c r="BD88" i="13"/>
  <c r="BD119" i="13" s="1"/>
  <c r="AZ88" i="13"/>
  <c r="AZ119" i="13" s="1"/>
  <c r="AV88" i="13"/>
  <c r="AV119" i="13" s="1"/>
  <c r="AR88" i="13"/>
  <c r="AR119" i="13" s="1"/>
  <c r="AN88" i="13"/>
  <c r="AN119" i="13" s="1"/>
  <c r="AJ88" i="13"/>
  <c r="AJ119" i="13" s="1"/>
  <c r="AF88" i="13"/>
  <c r="AF119" i="13" s="1"/>
  <c r="AB88" i="13"/>
  <c r="AB119" i="13" s="1"/>
  <c r="X88" i="13"/>
  <c r="X119" i="13" s="1"/>
  <c r="T88" i="13"/>
  <c r="T119" i="13" s="1"/>
  <c r="BC88" i="13"/>
  <c r="BC119" i="13" s="1"/>
  <c r="AU88" i="13"/>
  <c r="AU119" i="13" s="1"/>
  <c r="AM88" i="13"/>
  <c r="AM119" i="13" s="1"/>
  <c r="AE88" i="13"/>
  <c r="AE119" i="13" s="1"/>
  <c r="W88" i="13"/>
  <c r="W119" i="13" s="1"/>
  <c r="BB88" i="13"/>
  <c r="BB119" i="13" s="1"/>
  <c r="AT88" i="13"/>
  <c r="AT119" i="13" s="1"/>
  <c r="AL88" i="13"/>
  <c r="AL119" i="13" s="1"/>
  <c r="AD88" i="13"/>
  <c r="AD119" i="13" s="1"/>
  <c r="V88" i="13"/>
  <c r="V119" i="13" s="1"/>
  <c r="AY88" i="13"/>
  <c r="AY119" i="13" s="1"/>
  <c r="AI88" i="13"/>
  <c r="AI119" i="13" s="1"/>
  <c r="S88" i="13"/>
  <c r="BF88" i="13"/>
  <c r="BF119" i="13" s="1"/>
  <c r="Z88" i="13"/>
  <c r="Z119" i="13" s="1"/>
  <c r="AX88" i="13"/>
  <c r="AX119" i="13" s="1"/>
  <c r="AH88" i="13"/>
  <c r="AH119" i="13" s="1"/>
  <c r="BG88" i="13"/>
  <c r="BG119" i="13" s="1"/>
  <c r="AQ88" i="13"/>
  <c r="AQ119" i="13" s="1"/>
  <c r="AA88" i="13"/>
  <c r="AA119" i="13" s="1"/>
  <c r="AP88" i="13"/>
  <c r="AP119" i="13" s="1"/>
  <c r="X228" i="14"/>
  <c r="AH46" i="31"/>
  <c r="AH13" i="30"/>
  <c r="AO46" i="31"/>
  <c r="AO13" i="30"/>
  <c r="Y46" i="31"/>
  <c r="Y13" i="30"/>
  <c r="AB46" i="31"/>
  <c r="AB13" i="30"/>
  <c r="AU46" i="31"/>
  <c r="AU13" i="30"/>
  <c r="AM46" i="31"/>
  <c r="AM13" i="30"/>
  <c r="AE46" i="31"/>
  <c r="AE13" i="30"/>
  <c r="W46" i="31"/>
  <c r="W13" i="30"/>
  <c r="AP46" i="31"/>
  <c r="AP13" i="30"/>
  <c r="AR46" i="31"/>
  <c r="AR13" i="30"/>
  <c r="AT46" i="31"/>
  <c r="AT13" i="30"/>
  <c r="V46" i="31"/>
  <c r="V13" i="30"/>
  <c r="AS46" i="31"/>
  <c r="AS13" i="30"/>
  <c r="AK46" i="31"/>
  <c r="AK13" i="30"/>
  <c r="AC46" i="31"/>
  <c r="AC13" i="30"/>
  <c r="AV46" i="31"/>
  <c r="AV13" i="30"/>
  <c r="AN46" i="31"/>
  <c r="AN13" i="30"/>
  <c r="AF46" i="31"/>
  <c r="AF13" i="30"/>
  <c r="X46" i="31"/>
  <c r="X13" i="30"/>
  <c r="AX46" i="31"/>
  <c r="AX13" i="30"/>
  <c r="Z46" i="31"/>
  <c r="Z13" i="30"/>
  <c r="AW46" i="31"/>
  <c r="AW13" i="30"/>
  <c r="AG46" i="31"/>
  <c r="AG13" i="30"/>
  <c r="AJ46" i="31"/>
  <c r="AJ13" i="30"/>
  <c r="AL46" i="31"/>
  <c r="AL13" i="30"/>
  <c r="AD46" i="31"/>
  <c r="AD13" i="30"/>
  <c r="AY46" i="31"/>
  <c r="AY13" i="30"/>
  <c r="AQ46" i="31"/>
  <c r="AQ13" i="30"/>
  <c r="AI46" i="31"/>
  <c r="AI13" i="30"/>
  <c r="AA46" i="31"/>
  <c r="AA13" i="30"/>
  <c r="U46" i="31"/>
  <c r="U13" i="30"/>
  <c r="S46" i="31"/>
  <c r="S68" i="31" s="1"/>
  <c r="T68" i="31" s="1"/>
  <c r="W228" i="14"/>
  <c r="T228" i="14"/>
  <c r="X179" i="14"/>
  <c r="V228" i="14"/>
  <c r="R63" i="8"/>
  <c r="R224" i="24"/>
  <c r="S224" i="24" s="1"/>
  <c r="T224" i="24" s="1"/>
  <c r="U224" i="24" s="1"/>
  <c r="V224" i="24" s="1"/>
  <c r="W224" i="24" s="1"/>
  <c r="X224" i="24" s="1"/>
  <c r="Y224" i="24" s="1"/>
  <c r="Z224" i="24" s="1"/>
  <c r="AA224" i="24" s="1"/>
  <c r="AB224" i="24" s="1"/>
  <c r="AC224" i="24" s="1"/>
  <c r="AD224" i="24" s="1"/>
  <c r="AE224" i="24" s="1"/>
  <c r="AF224" i="24" s="1"/>
  <c r="AG224" i="24" s="1"/>
  <c r="AH224" i="24" s="1"/>
  <c r="AI224" i="24" s="1"/>
  <c r="AJ224" i="24" s="1"/>
  <c r="AK224" i="24" s="1"/>
  <c r="AL224" i="24" s="1"/>
  <c r="AM224" i="24" s="1"/>
  <c r="AN224" i="24" s="1"/>
  <c r="AO224" i="24" s="1"/>
  <c r="AP224" i="24" s="1"/>
  <c r="AQ224" i="24" s="1"/>
  <c r="AR224" i="24" s="1"/>
  <c r="AS224" i="24" s="1"/>
  <c r="AT224" i="24" s="1"/>
  <c r="AU224" i="24" s="1"/>
  <c r="AV224" i="24" s="1"/>
  <c r="AW224" i="24" s="1"/>
  <c r="AX224" i="24" s="1"/>
  <c r="AY224" i="24" s="1"/>
  <c r="R225" i="24"/>
  <c r="S225" i="24" s="1"/>
  <c r="T225" i="24" s="1"/>
  <c r="U225" i="24" s="1"/>
  <c r="V225" i="24" s="1"/>
  <c r="W225" i="24" s="1"/>
  <c r="X225" i="24" s="1"/>
  <c r="Y225" i="24" s="1"/>
  <c r="Z225" i="24" s="1"/>
  <c r="AA225" i="24" s="1"/>
  <c r="AB225" i="24" s="1"/>
  <c r="AC225" i="24" s="1"/>
  <c r="AD225" i="24" s="1"/>
  <c r="AE225" i="24" s="1"/>
  <c r="AF225" i="24" s="1"/>
  <c r="AG225" i="24" s="1"/>
  <c r="AH225" i="24" s="1"/>
  <c r="AI225" i="24" s="1"/>
  <c r="AJ225" i="24" s="1"/>
  <c r="AK225" i="24" s="1"/>
  <c r="AL225" i="24" s="1"/>
  <c r="AM225" i="24" s="1"/>
  <c r="AN225" i="24" s="1"/>
  <c r="AO225" i="24" s="1"/>
  <c r="AP225" i="24" s="1"/>
  <c r="AQ225" i="24" s="1"/>
  <c r="AR225" i="24" s="1"/>
  <c r="AS225" i="24" s="1"/>
  <c r="AT225" i="24" s="1"/>
  <c r="AU225" i="24" s="1"/>
  <c r="AV225" i="24" s="1"/>
  <c r="AW225" i="24" s="1"/>
  <c r="AX225" i="24" s="1"/>
  <c r="AY225" i="24" s="1"/>
  <c r="R227" i="24"/>
  <c r="S227" i="24" s="1"/>
  <c r="T227" i="24" s="1"/>
  <c r="U227" i="24" s="1"/>
  <c r="V227" i="24" s="1"/>
  <c r="W227" i="24" s="1"/>
  <c r="X227" i="24" s="1"/>
  <c r="Y227" i="24" s="1"/>
  <c r="Z227" i="24" s="1"/>
  <c r="AA227" i="24" s="1"/>
  <c r="AB227" i="24" s="1"/>
  <c r="AC227" i="24" s="1"/>
  <c r="AD227" i="24" s="1"/>
  <c r="AE227" i="24" s="1"/>
  <c r="AF227" i="24" s="1"/>
  <c r="AG227" i="24" s="1"/>
  <c r="AH227" i="24" s="1"/>
  <c r="AI227" i="24" s="1"/>
  <c r="AJ227" i="24" s="1"/>
  <c r="AK227" i="24" s="1"/>
  <c r="AL227" i="24" s="1"/>
  <c r="AM227" i="24" s="1"/>
  <c r="AN227" i="24" s="1"/>
  <c r="AO227" i="24" s="1"/>
  <c r="AP227" i="24" s="1"/>
  <c r="AQ227" i="24" s="1"/>
  <c r="AR227" i="24" s="1"/>
  <c r="AS227" i="24" s="1"/>
  <c r="AT227" i="24" s="1"/>
  <c r="AU227" i="24" s="1"/>
  <c r="AV227" i="24" s="1"/>
  <c r="AW227" i="24" s="1"/>
  <c r="AX227" i="24" s="1"/>
  <c r="AY227" i="24" s="1"/>
  <c r="R226" i="24"/>
  <c r="S226" i="24" s="1"/>
  <c r="T226" i="24" s="1"/>
  <c r="U226" i="24" s="1"/>
  <c r="V226" i="24" s="1"/>
  <c r="W226" i="24" s="1"/>
  <c r="X226" i="24" s="1"/>
  <c r="Y226" i="24" s="1"/>
  <c r="Z226" i="24" s="1"/>
  <c r="AA226" i="24" s="1"/>
  <c r="AB226" i="24" s="1"/>
  <c r="AC226" i="24" s="1"/>
  <c r="AD226" i="24" s="1"/>
  <c r="AE226" i="24" s="1"/>
  <c r="AF226" i="24" s="1"/>
  <c r="AG226" i="24" s="1"/>
  <c r="AH226" i="24" s="1"/>
  <c r="AI226" i="24" s="1"/>
  <c r="AJ226" i="24" s="1"/>
  <c r="AK226" i="24" s="1"/>
  <c r="AL226" i="24" s="1"/>
  <c r="AM226" i="24" s="1"/>
  <c r="AN226" i="24" s="1"/>
  <c r="AO226" i="24" s="1"/>
  <c r="AP226" i="24" s="1"/>
  <c r="AQ226" i="24" s="1"/>
  <c r="AR226" i="24" s="1"/>
  <c r="AS226" i="24" s="1"/>
  <c r="AT226" i="24" s="1"/>
  <c r="AU226" i="24" s="1"/>
  <c r="AV226" i="24" s="1"/>
  <c r="AW226" i="24" s="1"/>
  <c r="AX226" i="24" s="1"/>
  <c r="AY226" i="24" s="1"/>
  <c r="R228" i="24"/>
  <c r="S228" i="24" s="1"/>
  <c r="T228" i="24" s="1"/>
  <c r="U228" i="24" s="1"/>
  <c r="V228" i="24" s="1"/>
  <c r="W228" i="24" s="1"/>
  <c r="X228" i="24" s="1"/>
  <c r="Y228" i="24" s="1"/>
  <c r="Z228" i="24" s="1"/>
  <c r="AA228" i="24" s="1"/>
  <c r="AB228" i="24" s="1"/>
  <c r="AC228" i="24" s="1"/>
  <c r="AD228" i="24" s="1"/>
  <c r="AE228" i="24" s="1"/>
  <c r="AF228" i="24" s="1"/>
  <c r="AG228" i="24" s="1"/>
  <c r="AH228" i="24" s="1"/>
  <c r="AI228" i="24" s="1"/>
  <c r="AJ228" i="24" s="1"/>
  <c r="AK228" i="24" s="1"/>
  <c r="AL228" i="24" s="1"/>
  <c r="AM228" i="24" s="1"/>
  <c r="AN228" i="24" s="1"/>
  <c r="AO228" i="24" s="1"/>
  <c r="AP228" i="24" s="1"/>
  <c r="AQ228" i="24" s="1"/>
  <c r="AR228" i="24" s="1"/>
  <c r="AS228" i="24" s="1"/>
  <c r="AT228" i="24" s="1"/>
  <c r="AU228" i="24" s="1"/>
  <c r="AV228" i="24" s="1"/>
  <c r="AW228" i="24" s="1"/>
  <c r="AX228" i="24" s="1"/>
  <c r="AY228" i="24" s="1"/>
  <c r="R108" i="23"/>
  <c r="S108" i="23" s="1"/>
  <c r="T108" i="23" s="1"/>
  <c r="U108" i="23" s="1"/>
  <c r="V108" i="23" s="1"/>
  <c r="W108" i="23" s="1"/>
  <c r="X108" i="23" s="1"/>
  <c r="Y108" i="23" s="1"/>
  <c r="Z108" i="23" s="1"/>
  <c r="AA108" i="23" s="1"/>
  <c r="AB108" i="23" s="1"/>
  <c r="AC108" i="23" s="1"/>
  <c r="AD108" i="23" s="1"/>
  <c r="AE108" i="23" s="1"/>
  <c r="AF108" i="23" s="1"/>
  <c r="AG108" i="23" s="1"/>
  <c r="AH108" i="23" s="1"/>
  <c r="AI108" i="23" s="1"/>
  <c r="AJ108" i="23" s="1"/>
  <c r="AK108" i="23" s="1"/>
  <c r="AL108" i="23" s="1"/>
  <c r="AM108" i="23" s="1"/>
  <c r="AN108" i="23" s="1"/>
  <c r="AO108" i="23" s="1"/>
  <c r="AP108" i="23" s="1"/>
  <c r="AQ108" i="23" s="1"/>
  <c r="AR108" i="23" s="1"/>
  <c r="AS108" i="23" s="1"/>
  <c r="AT108" i="23" s="1"/>
  <c r="AU108" i="23" s="1"/>
  <c r="AV108" i="23" s="1"/>
  <c r="AW108" i="23" s="1"/>
  <c r="AX108" i="23" s="1"/>
  <c r="AY108" i="23" s="1"/>
  <c r="R176" i="24"/>
  <c r="S176" i="24" s="1"/>
  <c r="T176" i="24" s="1"/>
  <c r="R179" i="24"/>
  <c r="S179" i="24" s="1"/>
  <c r="T179" i="24" s="1"/>
  <c r="R110" i="23"/>
  <c r="S110" i="23" s="1"/>
  <c r="T110" i="23" s="1"/>
  <c r="U110" i="23" s="1"/>
  <c r="V110" i="23" s="1"/>
  <c r="W110" i="23" s="1"/>
  <c r="X110" i="23" s="1"/>
  <c r="Y110" i="23" s="1"/>
  <c r="Z110" i="23" s="1"/>
  <c r="AA110" i="23" s="1"/>
  <c r="AB110" i="23" s="1"/>
  <c r="AC110" i="23" s="1"/>
  <c r="AD110" i="23" s="1"/>
  <c r="AE110" i="23" s="1"/>
  <c r="AF110" i="23" s="1"/>
  <c r="AG110" i="23" s="1"/>
  <c r="AH110" i="23" s="1"/>
  <c r="AI110" i="23" s="1"/>
  <c r="AJ110" i="23" s="1"/>
  <c r="AK110" i="23" s="1"/>
  <c r="AL110" i="23" s="1"/>
  <c r="AM110" i="23" s="1"/>
  <c r="AN110" i="23" s="1"/>
  <c r="AO110" i="23" s="1"/>
  <c r="AP110" i="23" s="1"/>
  <c r="AQ110" i="23" s="1"/>
  <c r="AR110" i="23" s="1"/>
  <c r="AS110" i="23" s="1"/>
  <c r="AT110" i="23" s="1"/>
  <c r="AU110" i="23" s="1"/>
  <c r="AV110" i="23" s="1"/>
  <c r="AW110" i="23" s="1"/>
  <c r="AX110" i="23" s="1"/>
  <c r="AY110" i="23" s="1"/>
  <c r="R109" i="23"/>
  <c r="S109" i="23" s="1"/>
  <c r="T109" i="23" s="1"/>
  <c r="U109" i="23" s="1"/>
  <c r="V109" i="23" s="1"/>
  <c r="W109" i="23" s="1"/>
  <c r="X109" i="23" s="1"/>
  <c r="Y109" i="23" s="1"/>
  <c r="Z109" i="23" s="1"/>
  <c r="AA109" i="23" s="1"/>
  <c r="AB109" i="23" s="1"/>
  <c r="AC109" i="23" s="1"/>
  <c r="AD109" i="23" s="1"/>
  <c r="AE109" i="23" s="1"/>
  <c r="AF109" i="23" s="1"/>
  <c r="AG109" i="23" s="1"/>
  <c r="AH109" i="23" s="1"/>
  <c r="AI109" i="23" s="1"/>
  <c r="AJ109" i="23" s="1"/>
  <c r="AK109" i="23" s="1"/>
  <c r="AL109" i="23" s="1"/>
  <c r="AM109" i="23" s="1"/>
  <c r="AN109" i="23" s="1"/>
  <c r="AO109" i="23" s="1"/>
  <c r="AP109" i="23" s="1"/>
  <c r="AQ109" i="23" s="1"/>
  <c r="AR109" i="23" s="1"/>
  <c r="AS109" i="23" s="1"/>
  <c r="AT109" i="23" s="1"/>
  <c r="AU109" i="23" s="1"/>
  <c r="AV109" i="23" s="1"/>
  <c r="AW109" i="23" s="1"/>
  <c r="AX109" i="23" s="1"/>
  <c r="AY109" i="23" s="1"/>
  <c r="R107" i="23"/>
  <c r="S107" i="23" s="1"/>
  <c r="T107" i="23" s="1"/>
  <c r="U107" i="23" s="1"/>
  <c r="V107" i="23" s="1"/>
  <c r="W107" i="23" s="1"/>
  <c r="X107" i="23" s="1"/>
  <c r="Y107" i="23" s="1"/>
  <c r="Z107" i="23" s="1"/>
  <c r="AA107" i="23" s="1"/>
  <c r="AB107" i="23" s="1"/>
  <c r="AC107" i="23" s="1"/>
  <c r="AD107" i="23" s="1"/>
  <c r="AE107" i="23" s="1"/>
  <c r="AF107" i="23" s="1"/>
  <c r="AG107" i="23" s="1"/>
  <c r="AH107" i="23" s="1"/>
  <c r="AI107" i="23" s="1"/>
  <c r="AJ107" i="23" s="1"/>
  <c r="AK107" i="23" s="1"/>
  <c r="AL107" i="23" s="1"/>
  <c r="AM107" i="23" s="1"/>
  <c r="AN107" i="23" s="1"/>
  <c r="AO107" i="23" s="1"/>
  <c r="AP107" i="23" s="1"/>
  <c r="AQ107" i="23" s="1"/>
  <c r="AR107" i="23" s="1"/>
  <c r="AS107" i="23" s="1"/>
  <c r="AT107" i="23" s="1"/>
  <c r="AU107" i="23" s="1"/>
  <c r="AV107" i="23" s="1"/>
  <c r="AW107" i="23" s="1"/>
  <c r="AX107" i="23" s="1"/>
  <c r="AY107" i="23" s="1"/>
  <c r="R151" i="24"/>
  <c r="S151" i="24" s="1"/>
  <c r="T151" i="24" s="1"/>
  <c r="R167" i="24"/>
  <c r="S167" i="24" s="1"/>
  <c r="T167" i="24" s="1"/>
  <c r="R178" i="24"/>
  <c r="R102" i="23"/>
  <c r="S102" i="23" s="1"/>
  <c r="T102" i="23" s="1"/>
  <c r="T123" i="23" s="1"/>
  <c r="T135" i="23" s="1"/>
  <c r="R104" i="23"/>
  <c r="S104" i="23" s="1"/>
  <c r="T104" i="23" s="1"/>
  <c r="U104" i="23" s="1"/>
  <c r="V104" i="23" s="1"/>
  <c r="W104" i="23" s="1"/>
  <c r="X104" i="23" s="1"/>
  <c r="Y104" i="23" s="1"/>
  <c r="Z104" i="23" s="1"/>
  <c r="AA104" i="23" s="1"/>
  <c r="AB104" i="23" s="1"/>
  <c r="AC104" i="23" s="1"/>
  <c r="AD104" i="23" s="1"/>
  <c r="AE104" i="23" s="1"/>
  <c r="AF104" i="23" s="1"/>
  <c r="AG104" i="23" s="1"/>
  <c r="AH104" i="23" s="1"/>
  <c r="AI104" i="23" s="1"/>
  <c r="AJ104" i="23" s="1"/>
  <c r="AK104" i="23" s="1"/>
  <c r="AL104" i="23" s="1"/>
  <c r="AM104" i="23" s="1"/>
  <c r="AN104" i="23" s="1"/>
  <c r="AO104" i="23" s="1"/>
  <c r="AP104" i="23" s="1"/>
  <c r="AQ104" i="23" s="1"/>
  <c r="AR104" i="23" s="1"/>
  <c r="AS104" i="23" s="1"/>
  <c r="AT104" i="23" s="1"/>
  <c r="AU104" i="23" s="1"/>
  <c r="AV104" i="23" s="1"/>
  <c r="AW104" i="23" s="1"/>
  <c r="AX104" i="23" s="1"/>
  <c r="AY104" i="23" s="1"/>
  <c r="R128" i="24"/>
  <c r="S128" i="24" s="1"/>
  <c r="T128" i="24" s="1"/>
  <c r="R125" i="24"/>
  <c r="S125" i="24" s="1"/>
  <c r="T125" i="24" s="1"/>
  <c r="R142" i="24"/>
  <c r="S142" i="24" s="1"/>
  <c r="T142" i="24" s="1"/>
  <c r="R153" i="24"/>
  <c r="R183" i="24"/>
  <c r="S183" i="24" s="1"/>
  <c r="T183" i="24" s="1"/>
  <c r="R150" i="24"/>
  <c r="R154" i="24"/>
  <c r="S154" i="24" s="1"/>
  <c r="T154" i="24" s="1"/>
  <c r="R115" i="24"/>
  <c r="R161" i="24"/>
  <c r="S161" i="24" s="1"/>
  <c r="T161" i="24" s="1"/>
  <c r="R175" i="24"/>
  <c r="R127" i="24"/>
  <c r="R116" i="24"/>
  <c r="S116" i="24" s="1"/>
  <c r="T116" i="24" s="1"/>
  <c r="R124" i="24"/>
  <c r="R166" i="24"/>
  <c r="R141" i="24"/>
  <c r="R135" i="24"/>
  <c r="S135" i="24" s="1"/>
  <c r="T135" i="24" s="1"/>
  <c r="R122" i="24"/>
  <c r="S122" i="24" s="1"/>
  <c r="T122" i="24" s="1"/>
  <c r="R131" i="24"/>
  <c r="R157" i="24"/>
  <c r="R172" i="24"/>
  <c r="R132" i="24"/>
  <c r="S132" i="24" s="1"/>
  <c r="T132" i="24" s="1"/>
  <c r="R147" i="24"/>
  <c r="R148" i="24"/>
  <c r="S148" i="24" s="1"/>
  <c r="T148" i="24" s="1"/>
  <c r="R134" i="24"/>
  <c r="R158" i="24"/>
  <c r="S158" i="24" s="1"/>
  <c r="T158" i="24" s="1"/>
  <c r="R182" i="24"/>
  <c r="R173" i="24"/>
  <c r="S173" i="24" s="1"/>
  <c r="T173" i="24" s="1"/>
  <c r="R186" i="24"/>
  <c r="S186" i="24" s="1"/>
  <c r="T186" i="24" s="1"/>
  <c r="R121" i="24"/>
  <c r="R160" i="24"/>
  <c r="R185" i="24"/>
  <c r="R103" i="23"/>
  <c r="S103" i="23" s="1"/>
  <c r="T103" i="23" s="1"/>
  <c r="R144" i="24"/>
  <c r="R145" i="24"/>
  <c r="S145" i="24" s="1"/>
  <c r="T145" i="24" s="1"/>
  <c r="R169" i="24"/>
  <c r="R170" i="24"/>
  <c r="S170" i="24" s="1"/>
  <c r="T170" i="24" s="1"/>
  <c r="R119" i="24"/>
  <c r="S119" i="24" s="1"/>
  <c r="T119" i="24" s="1"/>
  <c r="R118" i="24"/>
  <c r="R61" i="16"/>
  <c r="S61" i="16" s="1"/>
  <c r="T61" i="16" s="1"/>
  <c r="U61" i="16" s="1"/>
  <c r="V61" i="16" s="1"/>
  <c r="W61" i="16" s="1"/>
  <c r="X61" i="16" s="1"/>
  <c r="Y61" i="16" s="1"/>
  <c r="Z61" i="16" s="1"/>
  <c r="AA61" i="16" s="1"/>
  <c r="AB61" i="16" s="1"/>
  <c r="AC61" i="16" s="1"/>
  <c r="AD61" i="16" s="1"/>
  <c r="AE61" i="16" s="1"/>
  <c r="AF61" i="16" s="1"/>
  <c r="AG61" i="16" s="1"/>
  <c r="AH61" i="16" s="1"/>
  <c r="AI61" i="16" s="1"/>
  <c r="AJ61" i="16" s="1"/>
  <c r="AK61" i="16" s="1"/>
  <c r="AL61" i="16" s="1"/>
  <c r="AM61" i="16" s="1"/>
  <c r="AN61" i="16" s="1"/>
  <c r="AO61" i="16" s="1"/>
  <c r="AP61" i="16" s="1"/>
  <c r="AQ61" i="16" s="1"/>
  <c r="AR61" i="16" s="1"/>
  <c r="AS61" i="16" s="1"/>
  <c r="AT61" i="16" s="1"/>
  <c r="AU61" i="16" s="1"/>
  <c r="AV61" i="16" s="1"/>
  <c r="AW61" i="16" s="1"/>
  <c r="AX61" i="16" s="1"/>
  <c r="AY61" i="16" s="1"/>
  <c r="R57" i="16"/>
  <c r="S57" i="16" s="1"/>
  <c r="T57" i="16" s="1"/>
  <c r="U57" i="16" s="1"/>
  <c r="V57" i="16" s="1"/>
  <c r="W57" i="16" s="1"/>
  <c r="X57" i="16" s="1"/>
  <c r="Y57" i="16" s="1"/>
  <c r="Z57" i="16" s="1"/>
  <c r="AA57" i="16" s="1"/>
  <c r="AB57" i="16" s="1"/>
  <c r="AC57" i="16" s="1"/>
  <c r="AD57" i="16" s="1"/>
  <c r="AE57" i="16" s="1"/>
  <c r="AF57" i="16" s="1"/>
  <c r="AG57" i="16" s="1"/>
  <c r="AH57" i="16" s="1"/>
  <c r="AI57" i="16" s="1"/>
  <c r="AJ57" i="16" s="1"/>
  <c r="AK57" i="16" s="1"/>
  <c r="AL57" i="16" s="1"/>
  <c r="AM57" i="16" s="1"/>
  <c r="AN57" i="16" s="1"/>
  <c r="AO57" i="16" s="1"/>
  <c r="AP57" i="16" s="1"/>
  <c r="AQ57" i="16" s="1"/>
  <c r="AR57" i="16" s="1"/>
  <c r="AS57" i="16" s="1"/>
  <c r="AT57" i="16" s="1"/>
  <c r="AU57" i="16" s="1"/>
  <c r="AV57" i="16" s="1"/>
  <c r="AW57" i="16" s="1"/>
  <c r="AX57" i="16" s="1"/>
  <c r="AY57" i="16" s="1"/>
  <c r="R53" i="16"/>
  <c r="S53" i="16" s="1"/>
  <c r="T53" i="16" s="1"/>
  <c r="U53" i="16" s="1"/>
  <c r="V53" i="16" s="1"/>
  <c r="W53" i="16" s="1"/>
  <c r="X53" i="16" s="1"/>
  <c r="Y53" i="16" s="1"/>
  <c r="Z53" i="16" s="1"/>
  <c r="AA53" i="16" s="1"/>
  <c r="AB53" i="16" s="1"/>
  <c r="AC53" i="16" s="1"/>
  <c r="AD53" i="16" s="1"/>
  <c r="AE53" i="16" s="1"/>
  <c r="AF53" i="16" s="1"/>
  <c r="AG53" i="16" s="1"/>
  <c r="AH53" i="16" s="1"/>
  <c r="AI53" i="16" s="1"/>
  <c r="AJ53" i="16" s="1"/>
  <c r="AK53" i="16" s="1"/>
  <c r="AL53" i="16" s="1"/>
  <c r="AM53" i="16" s="1"/>
  <c r="AN53" i="16" s="1"/>
  <c r="AO53" i="16" s="1"/>
  <c r="AP53" i="16" s="1"/>
  <c r="AQ53" i="16" s="1"/>
  <c r="AR53" i="16" s="1"/>
  <c r="AS53" i="16" s="1"/>
  <c r="AT53" i="16" s="1"/>
  <c r="AU53" i="16" s="1"/>
  <c r="AV53" i="16" s="1"/>
  <c r="AW53" i="16" s="1"/>
  <c r="AX53" i="16" s="1"/>
  <c r="AY53" i="16" s="1"/>
  <c r="R56" i="16"/>
  <c r="S56" i="16" s="1"/>
  <c r="T56" i="16" s="1"/>
  <c r="U56" i="16" s="1"/>
  <c r="V56" i="16" s="1"/>
  <c r="W56" i="16" s="1"/>
  <c r="X56" i="16" s="1"/>
  <c r="Y56" i="16" s="1"/>
  <c r="Z56" i="16" s="1"/>
  <c r="AA56" i="16" s="1"/>
  <c r="AB56" i="16" s="1"/>
  <c r="AC56" i="16" s="1"/>
  <c r="AD56" i="16" s="1"/>
  <c r="AE56" i="16" s="1"/>
  <c r="AF56" i="16" s="1"/>
  <c r="AG56" i="16" s="1"/>
  <c r="AH56" i="16" s="1"/>
  <c r="AI56" i="16" s="1"/>
  <c r="AJ56" i="16" s="1"/>
  <c r="AK56" i="16" s="1"/>
  <c r="AL56" i="16" s="1"/>
  <c r="AM56" i="16" s="1"/>
  <c r="AN56" i="16" s="1"/>
  <c r="AO56" i="16" s="1"/>
  <c r="AP56" i="16" s="1"/>
  <c r="AQ56" i="16" s="1"/>
  <c r="AR56" i="16" s="1"/>
  <c r="AS56" i="16" s="1"/>
  <c r="AT56" i="16" s="1"/>
  <c r="AU56" i="16" s="1"/>
  <c r="AV56" i="16" s="1"/>
  <c r="AW56" i="16" s="1"/>
  <c r="AX56" i="16" s="1"/>
  <c r="AY56" i="16" s="1"/>
  <c r="R60" i="16"/>
  <c r="S60" i="16" s="1"/>
  <c r="T60" i="16" s="1"/>
  <c r="U60" i="16" s="1"/>
  <c r="V60" i="16" s="1"/>
  <c r="W60" i="16" s="1"/>
  <c r="X60" i="16" s="1"/>
  <c r="Y60" i="16" s="1"/>
  <c r="Z60" i="16" s="1"/>
  <c r="AA60" i="16" s="1"/>
  <c r="AB60" i="16" s="1"/>
  <c r="AC60" i="16" s="1"/>
  <c r="AD60" i="16" s="1"/>
  <c r="AE60" i="16" s="1"/>
  <c r="AF60" i="16" s="1"/>
  <c r="AG60" i="16" s="1"/>
  <c r="AH60" i="16" s="1"/>
  <c r="AI60" i="16" s="1"/>
  <c r="AJ60" i="16" s="1"/>
  <c r="AK60" i="16" s="1"/>
  <c r="AL60" i="16" s="1"/>
  <c r="AM60" i="16" s="1"/>
  <c r="AN60" i="16" s="1"/>
  <c r="AO60" i="16" s="1"/>
  <c r="AP60" i="16" s="1"/>
  <c r="AQ60" i="16" s="1"/>
  <c r="AR60" i="16" s="1"/>
  <c r="AS60" i="16" s="1"/>
  <c r="AT60" i="16" s="1"/>
  <c r="AU60" i="16" s="1"/>
  <c r="AV60" i="16" s="1"/>
  <c r="AW60" i="16" s="1"/>
  <c r="AX60" i="16" s="1"/>
  <c r="AY60" i="16" s="1"/>
  <c r="R55" i="16"/>
  <c r="S55" i="16" s="1"/>
  <c r="T55" i="16" s="1"/>
  <c r="U55" i="16" s="1"/>
  <c r="V55" i="16" s="1"/>
  <c r="W55" i="16" s="1"/>
  <c r="X55" i="16" s="1"/>
  <c r="Y55" i="16" s="1"/>
  <c r="Z55" i="16" s="1"/>
  <c r="AA55" i="16" s="1"/>
  <c r="AB55" i="16" s="1"/>
  <c r="AC55" i="16" s="1"/>
  <c r="AD55" i="16" s="1"/>
  <c r="AE55" i="16" s="1"/>
  <c r="AF55" i="16" s="1"/>
  <c r="AG55" i="16" s="1"/>
  <c r="AH55" i="16" s="1"/>
  <c r="AI55" i="16" s="1"/>
  <c r="AJ55" i="16" s="1"/>
  <c r="AK55" i="16" s="1"/>
  <c r="AL55" i="16" s="1"/>
  <c r="AM55" i="16" s="1"/>
  <c r="AN55" i="16" s="1"/>
  <c r="AO55" i="16" s="1"/>
  <c r="AP55" i="16" s="1"/>
  <c r="AQ55" i="16" s="1"/>
  <c r="AR55" i="16" s="1"/>
  <c r="AS55" i="16" s="1"/>
  <c r="AT55" i="16" s="1"/>
  <c r="AU55" i="16" s="1"/>
  <c r="AV55" i="16" s="1"/>
  <c r="AW55" i="16" s="1"/>
  <c r="AX55" i="16" s="1"/>
  <c r="AY55" i="16" s="1"/>
  <c r="R54" i="16"/>
  <c r="S54" i="16" s="1"/>
  <c r="T54" i="16" s="1"/>
  <c r="U54" i="16" s="1"/>
  <c r="V54" i="16" s="1"/>
  <c r="W54" i="16" s="1"/>
  <c r="X54" i="16" s="1"/>
  <c r="Y54" i="16" s="1"/>
  <c r="Z54" i="16" s="1"/>
  <c r="AA54" i="16" s="1"/>
  <c r="AB54" i="16" s="1"/>
  <c r="AC54" i="16" s="1"/>
  <c r="AD54" i="16" s="1"/>
  <c r="AE54" i="16" s="1"/>
  <c r="AF54" i="16" s="1"/>
  <c r="AG54" i="16" s="1"/>
  <c r="AH54" i="16" s="1"/>
  <c r="AI54" i="16" s="1"/>
  <c r="AJ54" i="16" s="1"/>
  <c r="AK54" i="16" s="1"/>
  <c r="AL54" i="16" s="1"/>
  <c r="AM54" i="16" s="1"/>
  <c r="AN54" i="16" s="1"/>
  <c r="AO54" i="16" s="1"/>
  <c r="AP54" i="16" s="1"/>
  <c r="AQ54" i="16" s="1"/>
  <c r="AR54" i="16" s="1"/>
  <c r="AS54" i="16" s="1"/>
  <c r="AT54" i="16" s="1"/>
  <c r="AU54" i="16" s="1"/>
  <c r="AV54" i="16" s="1"/>
  <c r="AW54" i="16" s="1"/>
  <c r="AX54" i="16" s="1"/>
  <c r="AY54" i="16" s="1"/>
  <c r="R59" i="16"/>
  <c r="S59" i="16" s="1"/>
  <c r="T59" i="16" s="1"/>
  <c r="U59" i="16" s="1"/>
  <c r="V59" i="16" s="1"/>
  <c r="W59" i="16" s="1"/>
  <c r="X59" i="16" s="1"/>
  <c r="Y59" i="16" s="1"/>
  <c r="Z59" i="16" s="1"/>
  <c r="AA59" i="16" s="1"/>
  <c r="AB59" i="16" s="1"/>
  <c r="AC59" i="16" s="1"/>
  <c r="AD59" i="16" s="1"/>
  <c r="AE59" i="16" s="1"/>
  <c r="AF59" i="16" s="1"/>
  <c r="AG59" i="16" s="1"/>
  <c r="AH59" i="16" s="1"/>
  <c r="AI59" i="16" s="1"/>
  <c r="AJ59" i="16" s="1"/>
  <c r="AK59" i="16" s="1"/>
  <c r="AL59" i="16" s="1"/>
  <c r="AM59" i="16" s="1"/>
  <c r="AN59" i="16" s="1"/>
  <c r="AO59" i="16" s="1"/>
  <c r="AP59" i="16" s="1"/>
  <c r="AQ59" i="16" s="1"/>
  <c r="AR59" i="16" s="1"/>
  <c r="AS59" i="16" s="1"/>
  <c r="AT59" i="16" s="1"/>
  <c r="AU59" i="16" s="1"/>
  <c r="AV59" i="16" s="1"/>
  <c r="AW59" i="16" s="1"/>
  <c r="AX59" i="16" s="1"/>
  <c r="AY59" i="16" s="1"/>
  <c r="R58" i="16"/>
  <c r="S58" i="16" s="1"/>
  <c r="T58" i="16" s="1"/>
  <c r="U58" i="16" s="1"/>
  <c r="V58" i="16" s="1"/>
  <c r="W58" i="16" s="1"/>
  <c r="X58" i="16" s="1"/>
  <c r="Y58" i="16" s="1"/>
  <c r="Z58" i="16" s="1"/>
  <c r="AA58" i="16" s="1"/>
  <c r="AB58" i="16" s="1"/>
  <c r="AC58" i="16" s="1"/>
  <c r="AD58" i="16" s="1"/>
  <c r="AE58" i="16" s="1"/>
  <c r="AF58" i="16" s="1"/>
  <c r="AG58" i="16" s="1"/>
  <c r="AH58" i="16" s="1"/>
  <c r="AI58" i="16" s="1"/>
  <c r="AJ58" i="16" s="1"/>
  <c r="AK58" i="16" s="1"/>
  <c r="AL58" i="16" s="1"/>
  <c r="AM58" i="16" s="1"/>
  <c r="AN58" i="16" s="1"/>
  <c r="AO58" i="16" s="1"/>
  <c r="AP58" i="16" s="1"/>
  <c r="AQ58" i="16" s="1"/>
  <c r="AR58" i="16" s="1"/>
  <c r="AS58" i="16" s="1"/>
  <c r="AT58" i="16" s="1"/>
  <c r="AU58" i="16" s="1"/>
  <c r="AV58" i="16" s="1"/>
  <c r="AW58" i="16" s="1"/>
  <c r="AX58" i="16" s="1"/>
  <c r="AY58" i="16" s="1"/>
  <c r="S63" i="8"/>
  <c r="AZ23" i="8"/>
  <c r="AZ26" i="8" s="1"/>
  <c r="BA22" i="8"/>
  <c r="T45" i="22"/>
  <c r="U45" i="22" s="1"/>
  <c r="V45" i="22" s="1"/>
  <c r="W45" i="22" s="1"/>
  <c r="X45" i="22" s="1"/>
  <c r="Y45" i="22" s="1"/>
  <c r="Z45" i="22" s="1"/>
  <c r="AA45" i="22" s="1"/>
  <c r="AB45" i="22" s="1"/>
  <c r="AC45" i="22" s="1"/>
  <c r="AD45" i="22" s="1"/>
  <c r="AE45" i="22" s="1"/>
  <c r="AF45" i="22" s="1"/>
  <c r="AG45" i="22" s="1"/>
  <c r="AH45" i="22" s="1"/>
  <c r="AI45" i="22" s="1"/>
  <c r="AJ45" i="22" s="1"/>
  <c r="AK45" i="22" s="1"/>
  <c r="AL45" i="22" s="1"/>
  <c r="AM45" i="22" s="1"/>
  <c r="AN45" i="22" s="1"/>
  <c r="AO45" i="22" s="1"/>
  <c r="AP45" i="22" s="1"/>
  <c r="AQ45" i="22" s="1"/>
  <c r="AR45" i="22" s="1"/>
  <c r="AS45" i="22" s="1"/>
  <c r="AT45" i="22" s="1"/>
  <c r="AU45" i="22" s="1"/>
  <c r="AV45" i="22" s="1"/>
  <c r="AW45" i="22" s="1"/>
  <c r="AX45" i="22" s="1"/>
  <c r="AY45" i="22" s="1"/>
  <c r="T41" i="22"/>
  <c r="U41" i="22" s="1"/>
  <c r="V41" i="22" s="1"/>
  <c r="W41" i="22" s="1"/>
  <c r="X41" i="22" s="1"/>
  <c r="Y41" i="22" s="1"/>
  <c r="Z41" i="22" s="1"/>
  <c r="AA41" i="22" s="1"/>
  <c r="AB41" i="22" s="1"/>
  <c r="AC41" i="22" s="1"/>
  <c r="AD41" i="22" s="1"/>
  <c r="AE41" i="22" s="1"/>
  <c r="AF41" i="22" s="1"/>
  <c r="AG41" i="22" s="1"/>
  <c r="AH41" i="22" s="1"/>
  <c r="AI41" i="22" s="1"/>
  <c r="AJ41" i="22" s="1"/>
  <c r="AK41" i="22" s="1"/>
  <c r="AL41" i="22" s="1"/>
  <c r="AM41" i="22" s="1"/>
  <c r="AN41" i="22" s="1"/>
  <c r="AO41" i="22" s="1"/>
  <c r="AP41" i="22" s="1"/>
  <c r="AQ41" i="22" s="1"/>
  <c r="AR41" i="22" s="1"/>
  <c r="AS41" i="22" s="1"/>
  <c r="AT41" i="22" s="1"/>
  <c r="AU41" i="22" s="1"/>
  <c r="AV41" i="22" s="1"/>
  <c r="AW41" i="22" s="1"/>
  <c r="AX41" i="22" s="1"/>
  <c r="AY41" i="22" s="1"/>
  <c r="T44" i="22"/>
  <c r="U44" i="22" s="1"/>
  <c r="V44" i="22" s="1"/>
  <c r="W44" i="22" s="1"/>
  <c r="X44" i="22" s="1"/>
  <c r="Y44" i="22" s="1"/>
  <c r="Z44" i="22" s="1"/>
  <c r="AA44" i="22" s="1"/>
  <c r="AB44" i="22" s="1"/>
  <c r="AC44" i="22" s="1"/>
  <c r="AD44" i="22" s="1"/>
  <c r="AE44" i="22" s="1"/>
  <c r="AF44" i="22" s="1"/>
  <c r="AG44" i="22" s="1"/>
  <c r="AH44" i="22" s="1"/>
  <c r="AI44" i="22" s="1"/>
  <c r="AJ44" i="22" s="1"/>
  <c r="AK44" i="22" s="1"/>
  <c r="AL44" i="22" s="1"/>
  <c r="AM44" i="22" s="1"/>
  <c r="AN44" i="22" s="1"/>
  <c r="AO44" i="22" s="1"/>
  <c r="AP44" i="22" s="1"/>
  <c r="AQ44" i="22" s="1"/>
  <c r="AR44" i="22" s="1"/>
  <c r="AS44" i="22" s="1"/>
  <c r="AT44" i="22" s="1"/>
  <c r="AU44" i="22" s="1"/>
  <c r="AV44" i="22" s="1"/>
  <c r="AW44" i="22" s="1"/>
  <c r="AX44" i="22" s="1"/>
  <c r="AY44" i="22" s="1"/>
  <c r="T43" i="22"/>
  <c r="U43" i="22" s="1"/>
  <c r="V43" i="22" s="1"/>
  <c r="W43" i="22" s="1"/>
  <c r="X43" i="22" s="1"/>
  <c r="Y43" i="22" s="1"/>
  <c r="Z43" i="22" s="1"/>
  <c r="AA43" i="22" s="1"/>
  <c r="AB43" i="22" s="1"/>
  <c r="AC43" i="22" s="1"/>
  <c r="AD43" i="22" s="1"/>
  <c r="AE43" i="22" s="1"/>
  <c r="AF43" i="22" s="1"/>
  <c r="AG43" i="22" s="1"/>
  <c r="AH43" i="22" s="1"/>
  <c r="AI43" i="22" s="1"/>
  <c r="AJ43" i="22" s="1"/>
  <c r="AK43" i="22" s="1"/>
  <c r="AL43" i="22" s="1"/>
  <c r="AM43" i="22" s="1"/>
  <c r="AN43" i="22" s="1"/>
  <c r="AO43" i="22" s="1"/>
  <c r="AP43" i="22" s="1"/>
  <c r="AQ43" i="22" s="1"/>
  <c r="AR43" i="22" s="1"/>
  <c r="AS43" i="22" s="1"/>
  <c r="AT43" i="22" s="1"/>
  <c r="AU43" i="22" s="1"/>
  <c r="AV43" i="22" s="1"/>
  <c r="AW43" i="22" s="1"/>
  <c r="AX43" i="22" s="1"/>
  <c r="AY43" i="22" s="1"/>
  <c r="T42" i="22"/>
  <c r="U42" i="22" s="1"/>
  <c r="V42" i="22" s="1"/>
  <c r="W42" i="22" s="1"/>
  <c r="X42" i="22" s="1"/>
  <c r="Y42" i="22" s="1"/>
  <c r="Z42" i="22" s="1"/>
  <c r="AA42" i="22" s="1"/>
  <c r="AB42" i="22" s="1"/>
  <c r="AC42" i="22" s="1"/>
  <c r="AD42" i="22" s="1"/>
  <c r="AE42" i="22" s="1"/>
  <c r="AF42" i="22" s="1"/>
  <c r="AG42" i="22" s="1"/>
  <c r="AH42" i="22" s="1"/>
  <c r="AI42" i="22" s="1"/>
  <c r="AJ42" i="22" s="1"/>
  <c r="AK42" i="22" s="1"/>
  <c r="AL42" i="22" s="1"/>
  <c r="AM42" i="22" s="1"/>
  <c r="AN42" i="22" s="1"/>
  <c r="AO42" i="22" s="1"/>
  <c r="AP42" i="22" s="1"/>
  <c r="AQ42" i="22" s="1"/>
  <c r="AR42" i="22" s="1"/>
  <c r="AS42" i="22" s="1"/>
  <c r="AT42" i="22" s="1"/>
  <c r="AU42" i="22" s="1"/>
  <c r="AV42" i="22" s="1"/>
  <c r="AW42" i="22" s="1"/>
  <c r="AX42" i="22" s="1"/>
  <c r="AY42" i="22" s="1"/>
  <c r="W50" i="14"/>
  <c r="V8" i="19"/>
  <c r="W51" i="14"/>
  <c r="W9" i="19" s="1"/>
  <c r="V9" i="19"/>
  <c r="BC57" i="14"/>
  <c r="BB15" i="19"/>
  <c r="BD50" i="14"/>
  <c r="BC8" i="19"/>
  <c r="BB15" i="17"/>
  <c r="BA251" i="17" s="1"/>
  <c r="V54" i="14"/>
  <c r="U12" i="17"/>
  <c r="AG12" i="17"/>
  <c r="BC16" i="17"/>
  <c r="AH9" i="17"/>
  <c r="AH8" i="17"/>
  <c r="X11" i="17"/>
  <c r="W59" i="14"/>
  <c r="AH59" i="14"/>
  <c r="V9" i="17"/>
  <c r="AH10" i="17"/>
  <c r="BF10" i="17"/>
  <c r="AH11" i="17"/>
  <c r="Y10" i="17"/>
  <c r="BF9" i="17"/>
  <c r="BC8" i="17"/>
  <c r="V8" i="17"/>
  <c r="U250" i="17" s="1"/>
  <c r="Y58" i="14"/>
  <c r="Y16" i="19" s="1"/>
  <c r="X16" i="17"/>
  <c r="BC54" i="14"/>
  <c r="BC11" i="17"/>
  <c r="AJ58" i="14"/>
  <c r="AJ16" i="19" s="1"/>
  <c r="AI16" i="17"/>
  <c r="X57" i="14"/>
  <c r="W322" i="14" s="1"/>
  <c r="W15" i="17"/>
  <c r="V251" i="17" s="1"/>
  <c r="AI57" i="14"/>
  <c r="AI15" i="19" s="1"/>
  <c r="AH15" i="17"/>
  <c r="AG251" i="17" s="1"/>
  <c r="Z52" i="14"/>
  <c r="Z10" i="19" s="1"/>
  <c r="AI53" i="14"/>
  <c r="AI11" i="19" s="1"/>
  <c r="BG51" i="14"/>
  <c r="BG9" i="19" s="1"/>
  <c r="BD53" i="14"/>
  <c r="BD11" i="19" s="1"/>
  <c r="BG52" i="14"/>
  <c r="BG10" i="19" s="1"/>
  <c r="Y53" i="14"/>
  <c r="Y11" i="19" s="1"/>
  <c r="AH54" i="14"/>
  <c r="AI51" i="14"/>
  <c r="AI9" i="19" s="1"/>
  <c r="AI52" i="14"/>
  <c r="AI10" i="19" s="1"/>
  <c r="AI50" i="14"/>
  <c r="Y215" i="14"/>
  <c r="BD58" i="14"/>
  <c r="BD16" i="19" s="1"/>
  <c r="R8" i="13"/>
  <c r="AZ8" i="13"/>
  <c r="V8" i="13"/>
  <c r="BF75" i="13" l="1"/>
  <c r="BF106" i="13" s="1"/>
  <c r="W75" i="13"/>
  <c r="W106" i="13" s="1"/>
  <c r="AY75" i="13"/>
  <c r="AY106" i="13" s="1"/>
  <c r="AG75" i="13"/>
  <c r="AG106" i="13" s="1"/>
  <c r="AE75" i="13"/>
  <c r="AE106" i="13" s="1"/>
  <c r="BG75" i="13"/>
  <c r="BG106" i="13" s="1"/>
  <c r="AK75" i="13"/>
  <c r="AK106" i="13" s="1"/>
  <c r="AX75" i="13"/>
  <c r="AX106" i="13" s="1"/>
  <c r="AR75" i="13"/>
  <c r="AR106" i="13" s="1"/>
  <c r="AT91" i="17"/>
  <c r="AL76" i="13"/>
  <c r="AL107" i="13" s="1"/>
  <c r="BC75" i="13"/>
  <c r="BC106" i="13" s="1"/>
  <c r="S75" i="13"/>
  <c r="AB75" i="13"/>
  <c r="AB106" i="13" s="1"/>
  <c r="BH75" i="13"/>
  <c r="BH106" i="13" s="1"/>
  <c r="AW75" i="13"/>
  <c r="AW106" i="13" s="1"/>
  <c r="V75" i="13"/>
  <c r="V106" i="13" s="1"/>
  <c r="Z75" i="13"/>
  <c r="Z106" i="13" s="1"/>
  <c r="AA75" i="13"/>
  <c r="AA106" i="13" s="1"/>
  <c r="AF75" i="13"/>
  <c r="AF106" i="13" s="1"/>
  <c r="U75" i="13"/>
  <c r="U106" i="13" s="1"/>
  <c r="BA75" i="13"/>
  <c r="BA106" i="13" s="1"/>
  <c r="AL75" i="13"/>
  <c r="AL106" i="13" s="1"/>
  <c r="AM75" i="13"/>
  <c r="AM106" i="13" s="1"/>
  <c r="AH75" i="13"/>
  <c r="AH106" i="13" s="1"/>
  <c r="AD75" i="13"/>
  <c r="AD106" i="13" s="1"/>
  <c r="AI75" i="13"/>
  <c r="AI106" i="13" s="1"/>
  <c r="T75" i="13"/>
  <c r="T106" i="13" s="1"/>
  <c r="AJ75" i="13"/>
  <c r="AJ106" i="13" s="1"/>
  <c r="AZ75" i="13"/>
  <c r="AZ106" i="13" s="1"/>
  <c r="Y75" i="13"/>
  <c r="Y106" i="13" s="1"/>
  <c r="AO75" i="13"/>
  <c r="AO106" i="13" s="1"/>
  <c r="BE75" i="13"/>
  <c r="BE106" i="13" s="1"/>
  <c r="AV76" i="13"/>
  <c r="AV107" i="13" s="1"/>
  <c r="BB75" i="13"/>
  <c r="BB106" i="13" s="1"/>
  <c r="AU75" i="13"/>
  <c r="AU106" i="13" s="1"/>
  <c r="AP75" i="13"/>
  <c r="AP106" i="13" s="1"/>
  <c r="AT75" i="13"/>
  <c r="AT106" i="13" s="1"/>
  <c r="AQ75" i="13"/>
  <c r="AQ106" i="13" s="1"/>
  <c r="X75" i="13"/>
  <c r="X106" i="13" s="1"/>
  <c r="AN75" i="13"/>
  <c r="AN106" i="13" s="1"/>
  <c r="BD75" i="13"/>
  <c r="BD106" i="13" s="1"/>
  <c r="AC75" i="13"/>
  <c r="AC106" i="13" s="1"/>
  <c r="AS75" i="13"/>
  <c r="AS106" i="13" s="1"/>
  <c r="AN87" i="13"/>
  <c r="AN118" i="13" s="1"/>
  <c r="BE87" i="13"/>
  <c r="BE118" i="13" s="1"/>
  <c r="BB87" i="13"/>
  <c r="BB118" i="13" s="1"/>
  <c r="AR87" i="13"/>
  <c r="AR118" i="13" s="1"/>
  <c r="AQ87" i="13"/>
  <c r="AQ118" i="13" s="1"/>
  <c r="W327" i="14"/>
  <c r="W318" i="14"/>
  <c r="W328" i="14"/>
  <c r="W326" i="14"/>
  <c r="X15" i="19"/>
  <c r="W324" i="14"/>
  <c r="W320" i="14"/>
  <c r="W315" i="14"/>
  <c r="W316" i="14"/>
  <c r="W325" i="14"/>
  <c r="W321" i="14"/>
  <c r="W323" i="14"/>
  <c r="W319" i="14"/>
  <c r="W317" i="14"/>
  <c r="Y228" i="14"/>
  <c r="BG85" i="13"/>
  <c r="S56" i="31"/>
  <c r="T56" i="31" s="1"/>
  <c r="U56" i="31" s="1"/>
  <c r="V56" i="31" s="1"/>
  <c r="W56" i="31" s="1"/>
  <c r="X56" i="31" s="1"/>
  <c r="Y56" i="31" s="1"/>
  <c r="Z56" i="31" s="1"/>
  <c r="AA56" i="31" s="1"/>
  <c r="AB56" i="31" s="1"/>
  <c r="AC56" i="31" s="1"/>
  <c r="AD56" i="31" s="1"/>
  <c r="AE56" i="31" s="1"/>
  <c r="AF56" i="31" s="1"/>
  <c r="AG56" i="31" s="1"/>
  <c r="AH56" i="31" s="1"/>
  <c r="AI56" i="31" s="1"/>
  <c r="AJ56" i="31" s="1"/>
  <c r="AK56" i="31" s="1"/>
  <c r="AL56" i="31" s="1"/>
  <c r="AM56" i="31" s="1"/>
  <c r="AN56" i="31" s="1"/>
  <c r="AO56" i="31" s="1"/>
  <c r="AP56" i="31" s="1"/>
  <c r="AQ56" i="31" s="1"/>
  <c r="AR56" i="31" s="1"/>
  <c r="AS56" i="31" s="1"/>
  <c r="AT56" i="31" s="1"/>
  <c r="AU56" i="31" s="1"/>
  <c r="AV56" i="31" s="1"/>
  <c r="AW56" i="31" s="1"/>
  <c r="AX56" i="31" s="1"/>
  <c r="AY56" i="31" s="1"/>
  <c r="BH87" i="13"/>
  <c r="BH118" i="13" s="1"/>
  <c r="V87" i="13"/>
  <c r="V118" i="13" s="1"/>
  <c r="AU87" i="13"/>
  <c r="AU118" i="13" s="1"/>
  <c r="AF87" i="13"/>
  <c r="AF118" i="13" s="1"/>
  <c r="AX87" i="13"/>
  <c r="AX118" i="13" s="1"/>
  <c r="AK87" i="13"/>
  <c r="AK118" i="13" s="1"/>
  <c r="AC87" i="13"/>
  <c r="AC118" i="13" s="1"/>
  <c r="Y87" i="13"/>
  <c r="Y118" i="13" s="1"/>
  <c r="AH87" i="13"/>
  <c r="AH118" i="13" s="1"/>
  <c r="AA87" i="13"/>
  <c r="AA118" i="13" s="1"/>
  <c r="BG87" i="13"/>
  <c r="BG118" i="13" s="1"/>
  <c r="BA87" i="13"/>
  <c r="BA118" i="13" s="1"/>
  <c r="AS87" i="13"/>
  <c r="AS118" i="13" s="1"/>
  <c r="AG87" i="13"/>
  <c r="AG118" i="13" s="1"/>
  <c r="AL87" i="13"/>
  <c r="AL118" i="13" s="1"/>
  <c r="AE87" i="13"/>
  <c r="AE118" i="13" s="1"/>
  <c r="AZ87" i="13"/>
  <c r="AZ118" i="13" s="1"/>
  <c r="S87" i="13"/>
  <c r="T87" i="13"/>
  <c r="T118" i="13" s="1"/>
  <c r="BI87" i="13"/>
  <c r="BI118" i="13" s="1"/>
  <c r="AV87" i="13"/>
  <c r="AV118" i="13" s="1"/>
  <c r="AO87" i="13"/>
  <c r="AO118" i="13" s="1"/>
  <c r="Z87" i="13"/>
  <c r="Z118" i="13" s="1"/>
  <c r="AP87" i="13"/>
  <c r="AP118" i="13" s="1"/>
  <c r="BF87" i="13"/>
  <c r="BF118" i="13" s="1"/>
  <c r="AI87" i="13"/>
  <c r="AI118" i="13" s="1"/>
  <c r="AY87" i="13"/>
  <c r="AY118" i="13" s="1"/>
  <c r="U74" i="13"/>
  <c r="U105" i="13" s="1"/>
  <c r="U87" i="13"/>
  <c r="U118" i="13" s="1"/>
  <c r="AB87" i="13"/>
  <c r="AB118" i="13" s="1"/>
  <c r="AJ87" i="13"/>
  <c r="AJ118" i="13" s="1"/>
  <c r="X87" i="13"/>
  <c r="X118" i="13" s="1"/>
  <c r="BD87" i="13"/>
  <c r="BD118" i="13" s="1"/>
  <c r="AW87" i="13"/>
  <c r="AW118" i="13" s="1"/>
  <c r="AD87" i="13"/>
  <c r="AD118" i="13" s="1"/>
  <c r="AT87" i="13"/>
  <c r="AT118" i="13" s="1"/>
  <c r="W87" i="13"/>
  <c r="W118" i="13" s="1"/>
  <c r="AM87" i="13"/>
  <c r="AM118" i="13" s="1"/>
  <c r="AM74" i="13"/>
  <c r="AM105" i="13" s="1"/>
  <c r="BF86" i="13"/>
  <c r="BF117" i="13" s="1"/>
  <c r="BC74" i="13"/>
  <c r="BC105" i="13" s="1"/>
  <c r="AO74" i="13"/>
  <c r="AO105" i="13" s="1"/>
  <c r="X86" i="13"/>
  <c r="X117" i="13" s="1"/>
  <c r="BD86" i="13"/>
  <c r="BD117" i="13" s="1"/>
  <c r="AF73" i="13"/>
  <c r="AF104" i="13" s="1"/>
  <c r="BE74" i="13"/>
  <c r="BE105" i="13" s="1"/>
  <c r="AD74" i="13"/>
  <c r="AD105" i="13" s="1"/>
  <c r="AD86" i="13"/>
  <c r="AD117" i="13" s="1"/>
  <c r="AS86" i="13"/>
  <c r="AS117" i="13" s="1"/>
  <c r="AB74" i="13"/>
  <c r="AB105" i="13" s="1"/>
  <c r="AT74" i="13"/>
  <c r="AT105" i="13" s="1"/>
  <c r="S85" i="13"/>
  <c r="W86" i="13"/>
  <c r="W117" i="13" s="1"/>
  <c r="S86" i="13"/>
  <c r="AB86" i="13"/>
  <c r="AB117" i="13" s="1"/>
  <c r="BH86" i="13"/>
  <c r="BH117" i="13" s="1"/>
  <c r="AW86" i="13"/>
  <c r="AW117" i="13" s="1"/>
  <c r="AA73" i="13"/>
  <c r="AA104" i="13" s="1"/>
  <c r="AG73" i="13"/>
  <c r="AG104" i="13" s="1"/>
  <c r="BI85" i="13"/>
  <c r="BI116" i="13" s="1"/>
  <c r="AU86" i="13"/>
  <c r="AU117" i="13" s="1"/>
  <c r="Z86" i="13"/>
  <c r="Z117" i="13" s="1"/>
  <c r="AQ86" i="13"/>
  <c r="AQ117" i="13" s="1"/>
  <c r="AN86" i="13"/>
  <c r="AN117" i="13" s="1"/>
  <c r="AC86" i="13"/>
  <c r="AC117" i="13" s="1"/>
  <c r="BI86" i="13"/>
  <c r="BI117" i="13" s="1"/>
  <c r="AD73" i="13"/>
  <c r="AD104" i="13" s="1"/>
  <c r="AW73" i="13"/>
  <c r="AW104" i="13" s="1"/>
  <c r="AF74" i="13"/>
  <c r="AF105" i="13" s="1"/>
  <c r="AJ74" i="13"/>
  <c r="AJ105" i="13" s="1"/>
  <c r="BA74" i="13"/>
  <c r="BA105" i="13" s="1"/>
  <c r="BF74" i="13"/>
  <c r="BF105" i="13" s="1"/>
  <c r="AH85" i="13"/>
  <c r="AH116" i="13" s="1"/>
  <c r="V86" i="13"/>
  <c r="V117" i="13" s="1"/>
  <c r="AH86" i="13"/>
  <c r="AH117" i="13" s="1"/>
  <c r="AY86" i="13"/>
  <c r="AY117" i="13" s="1"/>
  <c r="AR86" i="13"/>
  <c r="AR117" i="13" s="1"/>
  <c r="AG86" i="13"/>
  <c r="AG117" i="13" s="1"/>
  <c r="BC73" i="13"/>
  <c r="BC104" i="13" s="1"/>
  <c r="AV74" i="13"/>
  <c r="AV105" i="13" s="1"/>
  <c r="X74" i="13"/>
  <c r="X105" i="13" s="1"/>
  <c r="Z74" i="13"/>
  <c r="Z105" i="13" s="1"/>
  <c r="W74" i="13"/>
  <c r="W105" i="13" s="1"/>
  <c r="AV85" i="13"/>
  <c r="AV116" i="13" s="1"/>
  <c r="AQ85" i="13"/>
  <c r="AQ116" i="13" s="1"/>
  <c r="AT86" i="13"/>
  <c r="AT117" i="13" s="1"/>
  <c r="AL86" i="13"/>
  <c r="AL117" i="13" s="1"/>
  <c r="AM86" i="13"/>
  <c r="AM117" i="13" s="1"/>
  <c r="AP86" i="13"/>
  <c r="AP117" i="13" s="1"/>
  <c r="AA86" i="13"/>
  <c r="AA117" i="13" s="1"/>
  <c r="BG86" i="13"/>
  <c r="BG117" i="13" s="1"/>
  <c r="AF86" i="13"/>
  <c r="AF117" i="13" s="1"/>
  <c r="AV86" i="13"/>
  <c r="AV117" i="13" s="1"/>
  <c r="U86" i="13"/>
  <c r="U117" i="13" s="1"/>
  <c r="AK86" i="13"/>
  <c r="AK117" i="13" s="1"/>
  <c r="BA86" i="13"/>
  <c r="BA117" i="13" s="1"/>
  <c r="AH73" i="13"/>
  <c r="AH104" i="13" s="1"/>
  <c r="AV73" i="13"/>
  <c r="AV104" i="13" s="1"/>
  <c r="AR85" i="13"/>
  <c r="AR116" i="13" s="1"/>
  <c r="AX85" i="13"/>
  <c r="AX116" i="13" s="1"/>
  <c r="AE86" i="13"/>
  <c r="AE117" i="13" s="1"/>
  <c r="BB86" i="13"/>
  <c r="BB117" i="13" s="1"/>
  <c r="BC86" i="13"/>
  <c r="BC117" i="13" s="1"/>
  <c r="AX86" i="13"/>
  <c r="AX117" i="13" s="1"/>
  <c r="AI86" i="13"/>
  <c r="AI117" i="13" s="1"/>
  <c r="T86" i="13"/>
  <c r="T117" i="13" s="1"/>
  <c r="AJ86" i="13"/>
  <c r="AJ117" i="13" s="1"/>
  <c r="AZ86" i="13"/>
  <c r="AZ117" i="13" s="1"/>
  <c r="Y86" i="13"/>
  <c r="Y117" i="13" s="1"/>
  <c r="AO86" i="13"/>
  <c r="AO117" i="13" s="1"/>
  <c r="W73" i="13"/>
  <c r="W104" i="13" s="1"/>
  <c r="S73" i="13"/>
  <c r="AW74" i="13"/>
  <c r="AW105" i="13" s="1"/>
  <c r="BH74" i="13"/>
  <c r="BH105" i="13" s="1"/>
  <c r="AS74" i="13"/>
  <c r="AS105" i="13" s="1"/>
  <c r="AP74" i="13"/>
  <c r="AP105" i="13" s="1"/>
  <c r="AI74" i="13"/>
  <c r="AI105" i="13" s="1"/>
  <c r="Y85" i="13"/>
  <c r="Y116" i="13" s="1"/>
  <c r="AC85" i="13"/>
  <c r="AC116" i="13" s="1"/>
  <c r="AA85" i="13"/>
  <c r="AA116" i="13" s="1"/>
  <c r="AR76" i="13"/>
  <c r="AR107" i="13" s="1"/>
  <c r="AC76" i="13"/>
  <c r="AC107" i="13" s="1"/>
  <c r="AO76" i="13"/>
  <c r="AO107" i="13" s="1"/>
  <c r="AE76" i="13"/>
  <c r="AE107" i="13" s="1"/>
  <c r="BB76" i="13"/>
  <c r="BB107" i="13" s="1"/>
  <c r="BI76" i="13"/>
  <c r="BI107" i="13" s="1"/>
  <c r="V76" i="13"/>
  <c r="V107" i="13" s="1"/>
  <c r="AU76" i="13"/>
  <c r="AU107" i="13" s="1"/>
  <c r="Z73" i="13"/>
  <c r="Z104" i="13" s="1"/>
  <c r="AQ73" i="13"/>
  <c r="AQ104" i="13" s="1"/>
  <c r="AX73" i="13"/>
  <c r="AX104" i="13" s="1"/>
  <c r="AE73" i="13"/>
  <c r="AE104" i="13" s="1"/>
  <c r="AJ73" i="13"/>
  <c r="AJ104" i="13" s="1"/>
  <c r="AZ73" i="13"/>
  <c r="AZ104" i="13" s="1"/>
  <c r="AK73" i="13"/>
  <c r="AK104" i="13" s="1"/>
  <c r="BA73" i="13"/>
  <c r="BA104" i="13" s="1"/>
  <c r="AN85" i="13"/>
  <c r="AN116" i="13" s="1"/>
  <c r="AZ85" i="13"/>
  <c r="AZ116" i="13" s="1"/>
  <c r="V85" i="13"/>
  <c r="V116" i="13" s="1"/>
  <c r="AP73" i="13"/>
  <c r="AP104" i="13" s="1"/>
  <c r="BG73" i="13"/>
  <c r="BG104" i="13" s="1"/>
  <c r="AT73" i="13"/>
  <c r="AT104" i="13" s="1"/>
  <c r="AI73" i="13"/>
  <c r="AI104" i="13" s="1"/>
  <c r="AM73" i="13"/>
  <c r="AM104" i="13" s="1"/>
  <c r="X73" i="13"/>
  <c r="X104" i="13" s="1"/>
  <c r="AN73" i="13"/>
  <c r="AN104" i="13" s="1"/>
  <c r="BD73" i="13"/>
  <c r="BD104" i="13" s="1"/>
  <c r="Y73" i="13"/>
  <c r="Y104" i="13" s="1"/>
  <c r="AO73" i="13"/>
  <c r="AO104" i="13" s="1"/>
  <c r="BE73" i="13"/>
  <c r="BE104" i="13" s="1"/>
  <c r="Y74" i="13"/>
  <c r="Y105" i="13" s="1"/>
  <c r="S74" i="13"/>
  <c r="AR74" i="13"/>
  <c r="AR105" i="13" s="1"/>
  <c r="AN74" i="13"/>
  <c r="AN105" i="13" s="1"/>
  <c r="AC74" i="13"/>
  <c r="AC105" i="13" s="1"/>
  <c r="BI74" i="13"/>
  <c r="BI105" i="13" s="1"/>
  <c r="AH74" i="13"/>
  <c r="AH105" i="13" s="1"/>
  <c r="AX74" i="13"/>
  <c r="AX105" i="13" s="1"/>
  <c r="AA74" i="13"/>
  <c r="AA105" i="13" s="1"/>
  <c r="AU74" i="13"/>
  <c r="AU105" i="13" s="1"/>
  <c r="X85" i="13"/>
  <c r="X116" i="13" s="1"/>
  <c r="BE85" i="13"/>
  <c r="BE116" i="13" s="1"/>
  <c r="AG85" i="13"/>
  <c r="AG116" i="13" s="1"/>
  <c r="AB85" i="13"/>
  <c r="AB116" i="13" s="1"/>
  <c r="BH85" i="13"/>
  <c r="BH116" i="13" s="1"/>
  <c r="AS85" i="13"/>
  <c r="AS116" i="13" s="1"/>
  <c r="Z85" i="13"/>
  <c r="Z116" i="13" s="1"/>
  <c r="AP85" i="13"/>
  <c r="AP116" i="13" s="1"/>
  <c r="BF85" i="13"/>
  <c r="BF116" i="13" s="1"/>
  <c r="AI85" i="13"/>
  <c r="AI116" i="13" s="1"/>
  <c r="AY85" i="13"/>
  <c r="AY116" i="13" s="1"/>
  <c r="AL73" i="13"/>
  <c r="AL104" i="13" s="1"/>
  <c r="T73" i="13"/>
  <c r="T104" i="13" s="1"/>
  <c r="U73" i="13"/>
  <c r="U104" i="13" s="1"/>
  <c r="AO85" i="13"/>
  <c r="AO116" i="13" s="1"/>
  <c r="T85" i="13"/>
  <c r="T116" i="13" s="1"/>
  <c r="AK85" i="13"/>
  <c r="AK116" i="13" s="1"/>
  <c r="AL85" i="13"/>
  <c r="AL116" i="13" s="1"/>
  <c r="BB85" i="13"/>
  <c r="BB116" i="13" s="1"/>
  <c r="AE85" i="13"/>
  <c r="AE116" i="13" s="1"/>
  <c r="AU85" i="13"/>
  <c r="AU116" i="13" s="1"/>
  <c r="BF73" i="13"/>
  <c r="BF104" i="13" s="1"/>
  <c r="V73" i="13"/>
  <c r="V104" i="13" s="1"/>
  <c r="BB73" i="13"/>
  <c r="BB104" i="13" s="1"/>
  <c r="AY73" i="13"/>
  <c r="AY104" i="13" s="1"/>
  <c r="AU73" i="13"/>
  <c r="AU104" i="13" s="1"/>
  <c r="AB73" i="13"/>
  <c r="AB104" i="13" s="1"/>
  <c r="AR73" i="13"/>
  <c r="AR104" i="13" s="1"/>
  <c r="BH73" i="13"/>
  <c r="BH104" i="13" s="1"/>
  <c r="AC73" i="13"/>
  <c r="AC104" i="13" s="1"/>
  <c r="AS73" i="13"/>
  <c r="AS104" i="13" s="1"/>
  <c r="AG74" i="13"/>
  <c r="AG105" i="13" s="1"/>
  <c r="T74" i="13"/>
  <c r="T105" i="13" s="1"/>
  <c r="AZ74" i="13"/>
  <c r="AZ105" i="13" s="1"/>
  <c r="BD74" i="13"/>
  <c r="BD105" i="13" s="1"/>
  <c r="AK74" i="13"/>
  <c r="AK105" i="13" s="1"/>
  <c r="V74" i="13"/>
  <c r="V105" i="13" s="1"/>
  <c r="AL74" i="13"/>
  <c r="AL105" i="13" s="1"/>
  <c r="BB74" i="13"/>
  <c r="BB105" i="13" s="1"/>
  <c r="AE74" i="13"/>
  <c r="AE105" i="13" s="1"/>
  <c r="AY74" i="13"/>
  <c r="AY105" i="13" s="1"/>
  <c r="BD85" i="13"/>
  <c r="BD116" i="13" s="1"/>
  <c r="AF85" i="13"/>
  <c r="AF116" i="13" s="1"/>
  <c r="AW85" i="13"/>
  <c r="AW116" i="13" s="1"/>
  <c r="AJ85" i="13"/>
  <c r="AJ116" i="13" s="1"/>
  <c r="U85" i="13"/>
  <c r="U116" i="13" s="1"/>
  <c r="BA85" i="13"/>
  <c r="BA116" i="13" s="1"/>
  <c r="AD85" i="13"/>
  <c r="AD116" i="13" s="1"/>
  <c r="AT85" i="13"/>
  <c r="AT116" i="13" s="1"/>
  <c r="W85" i="13"/>
  <c r="W116" i="13" s="1"/>
  <c r="AM85" i="13"/>
  <c r="AM116" i="13" s="1"/>
  <c r="AQ74" i="13"/>
  <c r="AQ105" i="13" s="1"/>
  <c r="AB76" i="13"/>
  <c r="AB107" i="13" s="1"/>
  <c r="AK76" i="13"/>
  <c r="AK107" i="13" s="1"/>
  <c r="X76" i="13"/>
  <c r="X107" i="13" s="1"/>
  <c r="BD76" i="13"/>
  <c r="BD107" i="13" s="1"/>
  <c r="BH76" i="13"/>
  <c r="BH107" i="13" s="1"/>
  <c r="AW76" i="13"/>
  <c r="AW107" i="13" s="1"/>
  <c r="Z76" i="13"/>
  <c r="Z107" i="13" s="1"/>
  <c r="AP76" i="13"/>
  <c r="AP107" i="13" s="1"/>
  <c r="BF76" i="13"/>
  <c r="BF107" i="13" s="1"/>
  <c r="AI76" i="13"/>
  <c r="AI107" i="13" s="1"/>
  <c r="AY76" i="13"/>
  <c r="AY107" i="13" s="1"/>
  <c r="AZ76" i="13"/>
  <c r="AZ107" i="13" s="1"/>
  <c r="AS76" i="13"/>
  <c r="AS107" i="13" s="1"/>
  <c r="AF76" i="13"/>
  <c r="AF107" i="13" s="1"/>
  <c r="T76" i="13"/>
  <c r="T107" i="13" s="1"/>
  <c r="Y76" i="13"/>
  <c r="Y107" i="13" s="1"/>
  <c r="BE76" i="13"/>
  <c r="BE107" i="13" s="1"/>
  <c r="AD76" i="13"/>
  <c r="AD107" i="13" s="1"/>
  <c r="AT76" i="13"/>
  <c r="AT107" i="13" s="1"/>
  <c r="W76" i="13"/>
  <c r="W107" i="13" s="1"/>
  <c r="AM76" i="13"/>
  <c r="AM107" i="13" s="1"/>
  <c r="BC76" i="13"/>
  <c r="BC107" i="13" s="1"/>
  <c r="U76" i="13"/>
  <c r="U107" i="13" s="1"/>
  <c r="BA76" i="13"/>
  <c r="BA107" i="13" s="1"/>
  <c r="AN76" i="13"/>
  <c r="AN107" i="13" s="1"/>
  <c r="AJ76" i="13"/>
  <c r="AJ107" i="13" s="1"/>
  <c r="AG76" i="13"/>
  <c r="AG107" i="13" s="1"/>
  <c r="S76" i="13"/>
  <c r="AH76" i="13"/>
  <c r="AH107" i="13" s="1"/>
  <c r="AX76" i="13"/>
  <c r="AX107" i="13" s="1"/>
  <c r="AA76" i="13"/>
  <c r="AA107" i="13" s="1"/>
  <c r="AQ76" i="13"/>
  <c r="AQ107" i="13" s="1"/>
  <c r="U103" i="23"/>
  <c r="T136" i="23"/>
  <c r="AG250" i="17"/>
  <c r="W8" i="19"/>
  <c r="BC12" i="17"/>
  <c r="BB250" i="17"/>
  <c r="BD8" i="19"/>
  <c r="BD12" i="19" s="1"/>
  <c r="BC15" i="19"/>
  <c r="AI8" i="19"/>
  <c r="AI12" i="19" s="1"/>
  <c r="BC12" i="19"/>
  <c r="U68" i="31"/>
  <c r="V68" i="31" s="1"/>
  <c r="W68" i="31" s="1"/>
  <c r="X68" i="31" s="1"/>
  <c r="Y68" i="31" s="1"/>
  <c r="Z68" i="31" s="1"/>
  <c r="AA68" i="31" s="1"/>
  <c r="AB68" i="31" s="1"/>
  <c r="AC68" i="31" s="1"/>
  <c r="AD68" i="31" s="1"/>
  <c r="AE68" i="31" s="1"/>
  <c r="AF68" i="31" s="1"/>
  <c r="AG68" i="31" s="1"/>
  <c r="AH68" i="31" s="1"/>
  <c r="AI68" i="31" s="1"/>
  <c r="AJ68" i="31" s="1"/>
  <c r="AK68" i="31" s="1"/>
  <c r="AL68" i="31" s="1"/>
  <c r="AM68" i="31" s="1"/>
  <c r="AN68" i="31" s="1"/>
  <c r="AO68" i="31" s="1"/>
  <c r="AP68" i="31" s="1"/>
  <c r="AQ68" i="31" s="1"/>
  <c r="AR68" i="31" s="1"/>
  <c r="AS68" i="31" s="1"/>
  <c r="AT68" i="31" s="1"/>
  <c r="AU68" i="31" s="1"/>
  <c r="AV68" i="31" s="1"/>
  <c r="AW68" i="31" s="1"/>
  <c r="AX68" i="31" s="1"/>
  <c r="AY68" i="31" s="1"/>
  <c r="BI93" i="13"/>
  <c r="BI125" i="13" s="1"/>
  <c r="BE93" i="13"/>
  <c r="BE125" i="13" s="1"/>
  <c r="BA93" i="13"/>
  <c r="BA125" i="13" s="1"/>
  <c r="AW93" i="13"/>
  <c r="AW125" i="13" s="1"/>
  <c r="AS93" i="13"/>
  <c r="AS125" i="13" s="1"/>
  <c r="AO93" i="13"/>
  <c r="AO125" i="13" s="1"/>
  <c r="AK93" i="13"/>
  <c r="AK125" i="13" s="1"/>
  <c r="AG93" i="13"/>
  <c r="AG125" i="13" s="1"/>
  <c r="AC93" i="13"/>
  <c r="AC125" i="13" s="1"/>
  <c r="Y93" i="13"/>
  <c r="Y125" i="13" s="1"/>
  <c r="U93" i="13"/>
  <c r="U125" i="13" s="1"/>
  <c r="T93" i="13"/>
  <c r="T125" i="13" s="1"/>
  <c r="BF93" i="13"/>
  <c r="BF125" i="13" s="1"/>
  <c r="AT93" i="13"/>
  <c r="AT125" i="13" s="1"/>
  <c r="AP93" i="13"/>
  <c r="AP125" i="13" s="1"/>
  <c r="AL93" i="13"/>
  <c r="AL125" i="13" s="1"/>
  <c r="AD93" i="13"/>
  <c r="AD125" i="13" s="1"/>
  <c r="V93" i="13"/>
  <c r="V125" i="13" s="1"/>
  <c r="BH93" i="13"/>
  <c r="BH125" i="13" s="1"/>
  <c r="BD93" i="13"/>
  <c r="BD125" i="13" s="1"/>
  <c r="AZ93" i="13"/>
  <c r="AZ125" i="13" s="1"/>
  <c r="AV93" i="13"/>
  <c r="AV125" i="13" s="1"/>
  <c r="AR93" i="13"/>
  <c r="AR125" i="13" s="1"/>
  <c r="AN93" i="13"/>
  <c r="AN125" i="13" s="1"/>
  <c r="AJ93" i="13"/>
  <c r="AJ125" i="13" s="1"/>
  <c r="AF93" i="13"/>
  <c r="AF125" i="13" s="1"/>
  <c r="AB93" i="13"/>
  <c r="AB125" i="13" s="1"/>
  <c r="X93" i="13"/>
  <c r="X125" i="13" s="1"/>
  <c r="BB93" i="13"/>
  <c r="BB125" i="13" s="1"/>
  <c r="AH93" i="13"/>
  <c r="AH125" i="13" s="1"/>
  <c r="Z93" i="13"/>
  <c r="Z125" i="13" s="1"/>
  <c r="BG93" i="13"/>
  <c r="BG125" i="13" s="1"/>
  <c r="BC93" i="13"/>
  <c r="BC125" i="13" s="1"/>
  <c r="AY93" i="13"/>
  <c r="AY125" i="13" s="1"/>
  <c r="AU93" i="13"/>
  <c r="AU125" i="13" s="1"/>
  <c r="AQ93" i="13"/>
  <c r="AQ125" i="13" s="1"/>
  <c r="AM93" i="13"/>
  <c r="AM125" i="13" s="1"/>
  <c r="AI93" i="13"/>
  <c r="AI125" i="13" s="1"/>
  <c r="AE93" i="13"/>
  <c r="AE125" i="13" s="1"/>
  <c r="AA93" i="13"/>
  <c r="AA125" i="13" s="1"/>
  <c r="W93" i="13"/>
  <c r="W125" i="13" s="1"/>
  <c r="AX93" i="13"/>
  <c r="AX125" i="13" s="1"/>
  <c r="BF92" i="13"/>
  <c r="BF124" i="13" s="1"/>
  <c r="BB92" i="13"/>
  <c r="BB124" i="13" s="1"/>
  <c r="AX92" i="13"/>
  <c r="AX124" i="13" s="1"/>
  <c r="AT92" i="13"/>
  <c r="AT124" i="13" s="1"/>
  <c r="AP92" i="13"/>
  <c r="AP124" i="13" s="1"/>
  <c r="AL92" i="13"/>
  <c r="AL124" i="13" s="1"/>
  <c r="AH92" i="13"/>
  <c r="AH124" i="13" s="1"/>
  <c r="AD92" i="13"/>
  <c r="AD124" i="13" s="1"/>
  <c r="Z92" i="13"/>
  <c r="Z124" i="13" s="1"/>
  <c r="V92" i="13"/>
  <c r="V124" i="13" s="1"/>
  <c r="BC92" i="13"/>
  <c r="BC124" i="13" s="1"/>
  <c r="AU92" i="13"/>
  <c r="AU124" i="13" s="1"/>
  <c r="AM92" i="13"/>
  <c r="AM124" i="13" s="1"/>
  <c r="AI92" i="13"/>
  <c r="AI124" i="13" s="1"/>
  <c r="BI92" i="13"/>
  <c r="BI124" i="13" s="1"/>
  <c r="BE92" i="13"/>
  <c r="BE124" i="13" s="1"/>
  <c r="BA92" i="13"/>
  <c r="BA124" i="13" s="1"/>
  <c r="AW92" i="13"/>
  <c r="AW124" i="13" s="1"/>
  <c r="AS92" i="13"/>
  <c r="AS124" i="13" s="1"/>
  <c r="AO92" i="13"/>
  <c r="AO124" i="13" s="1"/>
  <c r="AK92" i="13"/>
  <c r="AK124" i="13" s="1"/>
  <c r="AG92" i="13"/>
  <c r="AG124" i="13" s="1"/>
  <c r="AC92" i="13"/>
  <c r="AC124" i="13" s="1"/>
  <c r="Y92" i="13"/>
  <c r="Y124" i="13" s="1"/>
  <c r="U92" i="13"/>
  <c r="U124" i="13" s="1"/>
  <c r="T92" i="13"/>
  <c r="T124" i="13" s="1"/>
  <c r="BG92" i="13"/>
  <c r="BG124" i="13" s="1"/>
  <c r="AY92" i="13"/>
  <c r="AY124" i="13" s="1"/>
  <c r="AQ92" i="13"/>
  <c r="AQ124" i="13" s="1"/>
  <c r="AE92" i="13"/>
  <c r="AE124" i="13" s="1"/>
  <c r="W92" i="13"/>
  <c r="W124" i="13" s="1"/>
  <c r="BH92" i="13"/>
  <c r="BH124" i="13" s="1"/>
  <c r="BD92" i="13"/>
  <c r="BD124" i="13" s="1"/>
  <c r="AZ92" i="13"/>
  <c r="AZ124" i="13" s="1"/>
  <c r="AV92" i="13"/>
  <c r="AV124" i="13" s="1"/>
  <c r="AR92" i="13"/>
  <c r="AR124" i="13" s="1"/>
  <c r="AN92" i="13"/>
  <c r="AN124" i="13" s="1"/>
  <c r="AJ92" i="13"/>
  <c r="AJ124" i="13" s="1"/>
  <c r="AF92" i="13"/>
  <c r="AF124" i="13" s="1"/>
  <c r="AB92" i="13"/>
  <c r="AB124" i="13" s="1"/>
  <c r="X92" i="13"/>
  <c r="X124" i="13" s="1"/>
  <c r="AA92" i="13"/>
  <c r="AA124" i="13" s="1"/>
  <c r="BF79" i="13"/>
  <c r="BF111" i="13" s="1"/>
  <c r="BB79" i="13"/>
  <c r="BB111" i="13" s="1"/>
  <c r="AX79" i="13"/>
  <c r="AX111" i="13" s="1"/>
  <c r="AT79" i="13"/>
  <c r="AT111" i="13" s="1"/>
  <c r="AP79" i="13"/>
  <c r="AP111" i="13" s="1"/>
  <c r="AL79" i="13"/>
  <c r="AL111" i="13" s="1"/>
  <c r="AH79" i="13"/>
  <c r="AH111" i="13" s="1"/>
  <c r="AD79" i="13"/>
  <c r="AD111" i="13" s="1"/>
  <c r="Z79" i="13"/>
  <c r="Z111" i="13" s="1"/>
  <c r="V79" i="13"/>
  <c r="V111" i="13" s="1"/>
  <c r="T79" i="13"/>
  <c r="T111" i="13" s="1"/>
  <c r="BI79" i="13"/>
  <c r="BI111" i="13" s="1"/>
  <c r="BE79" i="13"/>
  <c r="BE111" i="13" s="1"/>
  <c r="BA79" i="13"/>
  <c r="BA111" i="13" s="1"/>
  <c r="AW79" i="13"/>
  <c r="AW111" i="13" s="1"/>
  <c r="AS79" i="13"/>
  <c r="AS111" i="13" s="1"/>
  <c r="AO79" i="13"/>
  <c r="AO111" i="13" s="1"/>
  <c r="AK79" i="13"/>
  <c r="AK111" i="13" s="1"/>
  <c r="AG79" i="13"/>
  <c r="AG111" i="13" s="1"/>
  <c r="AC79" i="13"/>
  <c r="AC111" i="13" s="1"/>
  <c r="Y79" i="13"/>
  <c r="Y111" i="13" s="1"/>
  <c r="U79" i="13"/>
  <c r="U111" i="13" s="1"/>
  <c r="BH79" i="13"/>
  <c r="BH111" i="13" s="1"/>
  <c r="BD79" i="13"/>
  <c r="BD111" i="13" s="1"/>
  <c r="AZ79" i="13"/>
  <c r="AZ111" i="13" s="1"/>
  <c r="AV79" i="13"/>
  <c r="AV111" i="13" s="1"/>
  <c r="AR79" i="13"/>
  <c r="AR111" i="13" s="1"/>
  <c r="AN79" i="13"/>
  <c r="AN111" i="13" s="1"/>
  <c r="AJ79" i="13"/>
  <c r="AJ111" i="13" s="1"/>
  <c r="AF79" i="13"/>
  <c r="AF111" i="13" s="1"/>
  <c r="AB79" i="13"/>
  <c r="AB111" i="13" s="1"/>
  <c r="X79" i="13"/>
  <c r="X111" i="13" s="1"/>
  <c r="AY79" i="13"/>
  <c r="AY111" i="13" s="1"/>
  <c r="AI79" i="13"/>
  <c r="AI111" i="13" s="1"/>
  <c r="BC79" i="13"/>
  <c r="BC111" i="13" s="1"/>
  <c r="W79" i="13"/>
  <c r="W111" i="13" s="1"/>
  <c r="AU79" i="13"/>
  <c r="AU111" i="13" s="1"/>
  <c r="AE79" i="13"/>
  <c r="AE111" i="13" s="1"/>
  <c r="BG79" i="13"/>
  <c r="BG111" i="13" s="1"/>
  <c r="AQ79" i="13"/>
  <c r="AQ111" i="13" s="1"/>
  <c r="AA79" i="13"/>
  <c r="AA111" i="13" s="1"/>
  <c r="AM79" i="13"/>
  <c r="AM111" i="13" s="1"/>
  <c r="BG78" i="13"/>
  <c r="BG110" i="13" s="1"/>
  <c r="BC78" i="13"/>
  <c r="BC110" i="13" s="1"/>
  <c r="AY78" i="13"/>
  <c r="AY110" i="13" s="1"/>
  <c r="AU78" i="13"/>
  <c r="AU110" i="13" s="1"/>
  <c r="AQ78" i="13"/>
  <c r="AQ110" i="13" s="1"/>
  <c r="AM78" i="13"/>
  <c r="AM110" i="13" s="1"/>
  <c r="AI78" i="13"/>
  <c r="AI110" i="13" s="1"/>
  <c r="AE78" i="13"/>
  <c r="AE110" i="13" s="1"/>
  <c r="AA78" i="13"/>
  <c r="AA110" i="13" s="1"/>
  <c r="W78" i="13"/>
  <c r="W110" i="13" s="1"/>
  <c r="BF78" i="13"/>
  <c r="BF110" i="13" s="1"/>
  <c r="BB78" i="13"/>
  <c r="BB110" i="13" s="1"/>
  <c r="AX78" i="13"/>
  <c r="AX110" i="13" s="1"/>
  <c r="AT78" i="13"/>
  <c r="AT110" i="13" s="1"/>
  <c r="AP78" i="13"/>
  <c r="AP110" i="13" s="1"/>
  <c r="AL78" i="13"/>
  <c r="AL110" i="13" s="1"/>
  <c r="AH78" i="13"/>
  <c r="AH110" i="13" s="1"/>
  <c r="AD78" i="13"/>
  <c r="AD110" i="13" s="1"/>
  <c r="Z78" i="13"/>
  <c r="Z110" i="13" s="1"/>
  <c r="V78" i="13"/>
  <c r="V110" i="13" s="1"/>
  <c r="T78" i="13"/>
  <c r="T110" i="13" s="1"/>
  <c r="BI78" i="13"/>
  <c r="BI110" i="13" s="1"/>
  <c r="BE78" i="13"/>
  <c r="BE110" i="13" s="1"/>
  <c r="BA78" i="13"/>
  <c r="BA110" i="13" s="1"/>
  <c r="AW78" i="13"/>
  <c r="AW110" i="13" s="1"/>
  <c r="AS78" i="13"/>
  <c r="AS110" i="13" s="1"/>
  <c r="AO78" i="13"/>
  <c r="AO110" i="13" s="1"/>
  <c r="AK78" i="13"/>
  <c r="AK110" i="13" s="1"/>
  <c r="AG78" i="13"/>
  <c r="AG110" i="13" s="1"/>
  <c r="AC78" i="13"/>
  <c r="AC110" i="13" s="1"/>
  <c r="Y78" i="13"/>
  <c r="Y110" i="13" s="1"/>
  <c r="U78" i="13"/>
  <c r="U110" i="13" s="1"/>
  <c r="BH78" i="13"/>
  <c r="BH110" i="13" s="1"/>
  <c r="AR78" i="13"/>
  <c r="AR110" i="13" s="1"/>
  <c r="AB78" i="13"/>
  <c r="AB110" i="13" s="1"/>
  <c r="AV78" i="13"/>
  <c r="AV110" i="13" s="1"/>
  <c r="BD78" i="13"/>
  <c r="BD110" i="13" s="1"/>
  <c r="AN78" i="13"/>
  <c r="AN110" i="13" s="1"/>
  <c r="X78" i="13"/>
  <c r="X110" i="13" s="1"/>
  <c r="AZ78" i="13"/>
  <c r="AZ110" i="13" s="1"/>
  <c r="AJ78" i="13"/>
  <c r="AJ110" i="13" s="1"/>
  <c r="AF78" i="13"/>
  <c r="AF110" i="13" s="1"/>
  <c r="BH90" i="13"/>
  <c r="BH122" i="13" s="1"/>
  <c r="BD90" i="13"/>
  <c r="BD122" i="13" s="1"/>
  <c r="AZ90" i="13"/>
  <c r="AZ122" i="13" s="1"/>
  <c r="AV90" i="13"/>
  <c r="AV122" i="13" s="1"/>
  <c r="AR90" i="13"/>
  <c r="AR122" i="13" s="1"/>
  <c r="AN90" i="13"/>
  <c r="AN122" i="13" s="1"/>
  <c r="AJ90" i="13"/>
  <c r="AJ122" i="13" s="1"/>
  <c r="AF90" i="13"/>
  <c r="AF122" i="13" s="1"/>
  <c r="AB90" i="13"/>
  <c r="AB122" i="13" s="1"/>
  <c r="X90" i="13"/>
  <c r="X122" i="13" s="1"/>
  <c r="BG90" i="13"/>
  <c r="BG122" i="13" s="1"/>
  <c r="BC90" i="13"/>
  <c r="BC122" i="13" s="1"/>
  <c r="AY90" i="13"/>
  <c r="AY122" i="13" s="1"/>
  <c r="AU90" i="13"/>
  <c r="AU122" i="13" s="1"/>
  <c r="AQ90" i="13"/>
  <c r="AQ122" i="13" s="1"/>
  <c r="AM90" i="13"/>
  <c r="AM122" i="13" s="1"/>
  <c r="AI90" i="13"/>
  <c r="AI122" i="13" s="1"/>
  <c r="AE90" i="13"/>
  <c r="AE122" i="13" s="1"/>
  <c r="AA90" i="13"/>
  <c r="AA122" i="13" s="1"/>
  <c r="W90" i="13"/>
  <c r="W122" i="13" s="1"/>
  <c r="BF90" i="13"/>
  <c r="BF122" i="13" s="1"/>
  <c r="BB90" i="13"/>
  <c r="BB122" i="13" s="1"/>
  <c r="AX90" i="13"/>
  <c r="AX122" i="13" s="1"/>
  <c r="AT90" i="13"/>
  <c r="AT122" i="13" s="1"/>
  <c r="AP90" i="13"/>
  <c r="AP122" i="13" s="1"/>
  <c r="AL90" i="13"/>
  <c r="AL122" i="13" s="1"/>
  <c r="AH90" i="13"/>
  <c r="AH122" i="13" s="1"/>
  <c r="AD90" i="13"/>
  <c r="AD122" i="13" s="1"/>
  <c r="Z90" i="13"/>
  <c r="Z122" i="13" s="1"/>
  <c r="V90" i="13"/>
  <c r="V122" i="13" s="1"/>
  <c r="BI90" i="13"/>
  <c r="BI122" i="13" s="1"/>
  <c r="AS90" i="13"/>
  <c r="AS122" i="13" s="1"/>
  <c r="AC90" i="13"/>
  <c r="AC122" i="13" s="1"/>
  <c r="AW90" i="13"/>
  <c r="AW122" i="13" s="1"/>
  <c r="AG90" i="13"/>
  <c r="AG122" i="13" s="1"/>
  <c r="BE90" i="13"/>
  <c r="BE122" i="13" s="1"/>
  <c r="AO90" i="13"/>
  <c r="AO122" i="13" s="1"/>
  <c r="Y90" i="13"/>
  <c r="Y122" i="13" s="1"/>
  <c r="BA90" i="13"/>
  <c r="BA122" i="13" s="1"/>
  <c r="AK90" i="13"/>
  <c r="AK122" i="13" s="1"/>
  <c r="U90" i="13"/>
  <c r="U122" i="13" s="1"/>
  <c r="T90" i="13"/>
  <c r="T122" i="13" s="1"/>
  <c r="BG91" i="13"/>
  <c r="BG123" i="13" s="1"/>
  <c r="BC91" i="13"/>
  <c r="BC123" i="13" s="1"/>
  <c r="AY91" i="13"/>
  <c r="AY123" i="13" s="1"/>
  <c r="AU91" i="13"/>
  <c r="AU123" i="13" s="1"/>
  <c r="AQ91" i="13"/>
  <c r="AQ123" i="13" s="1"/>
  <c r="AM91" i="13"/>
  <c r="AM123" i="13" s="1"/>
  <c r="AI91" i="13"/>
  <c r="AI123" i="13" s="1"/>
  <c r="AE91" i="13"/>
  <c r="AE123" i="13" s="1"/>
  <c r="AA91" i="13"/>
  <c r="AA123" i="13" s="1"/>
  <c r="W91" i="13"/>
  <c r="W123" i="13" s="1"/>
  <c r="BH91" i="13"/>
  <c r="BH123" i="13" s="1"/>
  <c r="BF91" i="13"/>
  <c r="BF123" i="13" s="1"/>
  <c r="BB91" i="13"/>
  <c r="BB123" i="13" s="1"/>
  <c r="AX91" i="13"/>
  <c r="AX123" i="13" s="1"/>
  <c r="AT91" i="13"/>
  <c r="AT123" i="13" s="1"/>
  <c r="AP91" i="13"/>
  <c r="AP123" i="13" s="1"/>
  <c r="AL91" i="13"/>
  <c r="AL123" i="13" s="1"/>
  <c r="AH91" i="13"/>
  <c r="AH123" i="13" s="1"/>
  <c r="AD91" i="13"/>
  <c r="AD123" i="13" s="1"/>
  <c r="Z91" i="13"/>
  <c r="Z123" i="13" s="1"/>
  <c r="V91" i="13"/>
  <c r="V123" i="13" s="1"/>
  <c r="AZ91" i="13"/>
  <c r="AZ123" i="13" s="1"/>
  <c r="BI91" i="13"/>
  <c r="BI123" i="13" s="1"/>
  <c r="BE91" i="13"/>
  <c r="BE123" i="13" s="1"/>
  <c r="BA91" i="13"/>
  <c r="BA123" i="13" s="1"/>
  <c r="AW91" i="13"/>
  <c r="AW123" i="13" s="1"/>
  <c r="AS91" i="13"/>
  <c r="AS123" i="13" s="1"/>
  <c r="AO91" i="13"/>
  <c r="AO123" i="13" s="1"/>
  <c r="AK91" i="13"/>
  <c r="AK123" i="13" s="1"/>
  <c r="AG91" i="13"/>
  <c r="AG123" i="13" s="1"/>
  <c r="AC91" i="13"/>
  <c r="AC123" i="13" s="1"/>
  <c r="Y91" i="13"/>
  <c r="Y123" i="13" s="1"/>
  <c r="U91" i="13"/>
  <c r="U123" i="13" s="1"/>
  <c r="T91" i="13"/>
  <c r="T123" i="13" s="1"/>
  <c r="BD91" i="13"/>
  <c r="BD123" i="13" s="1"/>
  <c r="AJ91" i="13"/>
  <c r="AJ123" i="13" s="1"/>
  <c r="AN91" i="13"/>
  <c r="AN123" i="13" s="1"/>
  <c r="AV91" i="13"/>
  <c r="AV123" i="13" s="1"/>
  <c r="AF91" i="13"/>
  <c r="AF123" i="13" s="1"/>
  <c r="AR91" i="13"/>
  <c r="AR123" i="13" s="1"/>
  <c r="AB91" i="13"/>
  <c r="AB123" i="13" s="1"/>
  <c r="X91" i="13"/>
  <c r="X123" i="13" s="1"/>
  <c r="BI80" i="13"/>
  <c r="BI112" i="13" s="1"/>
  <c r="BE80" i="13"/>
  <c r="BE112" i="13" s="1"/>
  <c r="BA80" i="13"/>
  <c r="BA112" i="13" s="1"/>
  <c r="AW80" i="13"/>
  <c r="AW112" i="13" s="1"/>
  <c r="AS80" i="13"/>
  <c r="AS112" i="13" s="1"/>
  <c r="AO80" i="13"/>
  <c r="AO112" i="13" s="1"/>
  <c r="AK80" i="13"/>
  <c r="AK112" i="13" s="1"/>
  <c r="AG80" i="13"/>
  <c r="AG112" i="13" s="1"/>
  <c r="AC80" i="13"/>
  <c r="AC112" i="13" s="1"/>
  <c r="Y80" i="13"/>
  <c r="Y112" i="13" s="1"/>
  <c r="U80" i="13"/>
  <c r="U112" i="13" s="1"/>
  <c r="BH80" i="13"/>
  <c r="BH112" i="13" s="1"/>
  <c r="BD80" i="13"/>
  <c r="BD112" i="13" s="1"/>
  <c r="AZ80" i="13"/>
  <c r="AZ112" i="13" s="1"/>
  <c r="AV80" i="13"/>
  <c r="AV112" i="13" s="1"/>
  <c r="AR80" i="13"/>
  <c r="AR112" i="13" s="1"/>
  <c r="AN80" i="13"/>
  <c r="AN112" i="13" s="1"/>
  <c r="AJ80" i="13"/>
  <c r="AJ112" i="13" s="1"/>
  <c r="AF80" i="13"/>
  <c r="AF112" i="13" s="1"/>
  <c r="AB80" i="13"/>
  <c r="AB112" i="13" s="1"/>
  <c r="X80" i="13"/>
  <c r="X112" i="13" s="1"/>
  <c r="BG80" i="13"/>
  <c r="BG112" i="13" s="1"/>
  <c r="BC80" i="13"/>
  <c r="BC112" i="13" s="1"/>
  <c r="AY80" i="13"/>
  <c r="AY112" i="13" s="1"/>
  <c r="AU80" i="13"/>
  <c r="AU112" i="13" s="1"/>
  <c r="AQ80" i="13"/>
  <c r="AQ112" i="13" s="1"/>
  <c r="AM80" i="13"/>
  <c r="AM112" i="13" s="1"/>
  <c r="AI80" i="13"/>
  <c r="AI112" i="13" s="1"/>
  <c r="AE80" i="13"/>
  <c r="AE112" i="13" s="1"/>
  <c r="AA80" i="13"/>
  <c r="AA112" i="13" s="1"/>
  <c r="W80" i="13"/>
  <c r="W112" i="13" s="1"/>
  <c r="BF80" i="13"/>
  <c r="BF112" i="13" s="1"/>
  <c r="AP80" i="13"/>
  <c r="AP112" i="13" s="1"/>
  <c r="Z80" i="13"/>
  <c r="Z112" i="13" s="1"/>
  <c r="T80" i="13"/>
  <c r="T112" i="13" s="1"/>
  <c r="AT80" i="13"/>
  <c r="AT112" i="13" s="1"/>
  <c r="AD80" i="13"/>
  <c r="AD112" i="13" s="1"/>
  <c r="BB80" i="13"/>
  <c r="BB112" i="13" s="1"/>
  <c r="AL80" i="13"/>
  <c r="AL112" i="13" s="1"/>
  <c r="V80" i="13"/>
  <c r="V112" i="13" s="1"/>
  <c r="AX80" i="13"/>
  <c r="AX112" i="13" s="1"/>
  <c r="AH80" i="13"/>
  <c r="AH112" i="13" s="1"/>
  <c r="BC116" i="13"/>
  <c r="BG116" i="13"/>
  <c r="S60" i="31"/>
  <c r="T60" i="31" s="1"/>
  <c r="U60" i="31" s="1"/>
  <c r="V60" i="31" s="1"/>
  <c r="W60" i="31" s="1"/>
  <c r="X60" i="31" s="1"/>
  <c r="Y60" i="31" s="1"/>
  <c r="Z60" i="31" s="1"/>
  <c r="AA60" i="31" s="1"/>
  <c r="AB60" i="31" s="1"/>
  <c r="AC60" i="31" s="1"/>
  <c r="AD60" i="31" s="1"/>
  <c r="AE60" i="31" s="1"/>
  <c r="AF60" i="31" s="1"/>
  <c r="AG60" i="31" s="1"/>
  <c r="AH60" i="31" s="1"/>
  <c r="AI60" i="31" s="1"/>
  <c r="AJ60" i="31" s="1"/>
  <c r="AK60" i="31" s="1"/>
  <c r="AL60" i="31" s="1"/>
  <c r="AM60" i="31" s="1"/>
  <c r="AN60" i="31" s="1"/>
  <c r="AO60" i="31" s="1"/>
  <c r="AP60" i="31" s="1"/>
  <c r="AQ60" i="31" s="1"/>
  <c r="AR60" i="31" s="1"/>
  <c r="AS60" i="31" s="1"/>
  <c r="AT60" i="31" s="1"/>
  <c r="AU60" i="31" s="1"/>
  <c r="AV60" i="31" s="1"/>
  <c r="AW60" i="31" s="1"/>
  <c r="AX60" i="31" s="1"/>
  <c r="AY60" i="31" s="1"/>
  <c r="S55" i="31"/>
  <c r="T55" i="31" s="1"/>
  <c r="U55" i="31" s="1"/>
  <c r="V55" i="31" s="1"/>
  <c r="W55" i="31" s="1"/>
  <c r="X55" i="31" s="1"/>
  <c r="Y55" i="31" s="1"/>
  <c r="Z55" i="31" s="1"/>
  <c r="AA55" i="31" s="1"/>
  <c r="AB55" i="31" s="1"/>
  <c r="AC55" i="31" s="1"/>
  <c r="AD55" i="31" s="1"/>
  <c r="AE55" i="31" s="1"/>
  <c r="AF55" i="31" s="1"/>
  <c r="AG55" i="31" s="1"/>
  <c r="AH55" i="31" s="1"/>
  <c r="AI55" i="31" s="1"/>
  <c r="AJ55" i="31" s="1"/>
  <c r="AK55" i="31" s="1"/>
  <c r="AL55" i="31" s="1"/>
  <c r="AM55" i="31" s="1"/>
  <c r="AN55" i="31" s="1"/>
  <c r="AO55" i="31" s="1"/>
  <c r="AP55" i="31" s="1"/>
  <c r="AQ55" i="31" s="1"/>
  <c r="AR55" i="31" s="1"/>
  <c r="AS55" i="31" s="1"/>
  <c r="AT55" i="31" s="1"/>
  <c r="AU55" i="31" s="1"/>
  <c r="AV55" i="31" s="1"/>
  <c r="AW55" i="31" s="1"/>
  <c r="AX55" i="31" s="1"/>
  <c r="AY55" i="31" s="1"/>
  <c r="S57" i="31"/>
  <c r="T57" i="31" s="1"/>
  <c r="U57" i="31" s="1"/>
  <c r="V57" i="31" s="1"/>
  <c r="W57" i="31" s="1"/>
  <c r="X57" i="31" s="1"/>
  <c r="Y57" i="31" s="1"/>
  <c r="Z57" i="31" s="1"/>
  <c r="AA57" i="31" s="1"/>
  <c r="AB57" i="31" s="1"/>
  <c r="AC57" i="31" s="1"/>
  <c r="AD57" i="31" s="1"/>
  <c r="AE57" i="31" s="1"/>
  <c r="AF57" i="31" s="1"/>
  <c r="AG57" i="31" s="1"/>
  <c r="AH57" i="31" s="1"/>
  <c r="AI57" i="31" s="1"/>
  <c r="AJ57" i="31" s="1"/>
  <c r="AK57" i="31" s="1"/>
  <c r="AL57" i="31" s="1"/>
  <c r="AM57" i="31" s="1"/>
  <c r="AN57" i="31" s="1"/>
  <c r="AO57" i="31" s="1"/>
  <c r="AP57" i="31" s="1"/>
  <c r="AQ57" i="31" s="1"/>
  <c r="AR57" i="31" s="1"/>
  <c r="AS57" i="31" s="1"/>
  <c r="AT57" i="31" s="1"/>
  <c r="AU57" i="31" s="1"/>
  <c r="AV57" i="31" s="1"/>
  <c r="AW57" i="31" s="1"/>
  <c r="AX57" i="31" s="1"/>
  <c r="AY57" i="31" s="1"/>
  <c r="S69" i="31"/>
  <c r="T69" i="31" s="1"/>
  <c r="U69" i="31" s="1"/>
  <c r="V69" i="31" s="1"/>
  <c r="W69" i="31" s="1"/>
  <c r="X69" i="31" s="1"/>
  <c r="Y69" i="31" s="1"/>
  <c r="Z69" i="31" s="1"/>
  <c r="AA69" i="31" s="1"/>
  <c r="AB69" i="31" s="1"/>
  <c r="AC69" i="31" s="1"/>
  <c r="AD69" i="31" s="1"/>
  <c r="AE69" i="31" s="1"/>
  <c r="AF69" i="31" s="1"/>
  <c r="AG69" i="31" s="1"/>
  <c r="AH69" i="31" s="1"/>
  <c r="AI69" i="31" s="1"/>
  <c r="AJ69" i="31" s="1"/>
  <c r="AK69" i="31" s="1"/>
  <c r="AL69" i="31" s="1"/>
  <c r="AM69" i="31" s="1"/>
  <c r="AN69" i="31" s="1"/>
  <c r="AO69" i="31" s="1"/>
  <c r="AP69" i="31" s="1"/>
  <c r="AQ69" i="31" s="1"/>
  <c r="AR69" i="31" s="1"/>
  <c r="AS69" i="31" s="1"/>
  <c r="AT69" i="31" s="1"/>
  <c r="AU69" i="31" s="1"/>
  <c r="AV69" i="31" s="1"/>
  <c r="AW69" i="31" s="1"/>
  <c r="AX69" i="31" s="1"/>
  <c r="AY69" i="31" s="1"/>
  <c r="S59" i="31"/>
  <c r="T59" i="31" s="1"/>
  <c r="U59" i="31" s="1"/>
  <c r="V59" i="31" s="1"/>
  <c r="W59" i="31" s="1"/>
  <c r="X59" i="31" s="1"/>
  <c r="Y59" i="31" s="1"/>
  <c r="Z59" i="31" s="1"/>
  <c r="AA59" i="31" s="1"/>
  <c r="AB59" i="31" s="1"/>
  <c r="AC59" i="31" s="1"/>
  <c r="AD59" i="31" s="1"/>
  <c r="AE59" i="31" s="1"/>
  <c r="AF59" i="31" s="1"/>
  <c r="AG59" i="31" s="1"/>
  <c r="AH59" i="31" s="1"/>
  <c r="AI59" i="31" s="1"/>
  <c r="AJ59" i="31" s="1"/>
  <c r="AK59" i="31" s="1"/>
  <c r="AL59" i="31" s="1"/>
  <c r="AM59" i="31" s="1"/>
  <c r="AN59" i="31" s="1"/>
  <c r="AO59" i="31" s="1"/>
  <c r="AP59" i="31" s="1"/>
  <c r="AQ59" i="31" s="1"/>
  <c r="AR59" i="31" s="1"/>
  <c r="AS59" i="31" s="1"/>
  <c r="AT59" i="31" s="1"/>
  <c r="AU59" i="31" s="1"/>
  <c r="AV59" i="31" s="1"/>
  <c r="AW59" i="31" s="1"/>
  <c r="AX59" i="31" s="1"/>
  <c r="AY59" i="31" s="1"/>
  <c r="S58" i="31"/>
  <c r="T58" i="31" s="1"/>
  <c r="U58" i="31" s="1"/>
  <c r="V58" i="31" s="1"/>
  <c r="W58" i="31" s="1"/>
  <c r="X58" i="31" s="1"/>
  <c r="Y58" i="31" s="1"/>
  <c r="Z58" i="31" s="1"/>
  <c r="AA58" i="31" s="1"/>
  <c r="AB58" i="31" s="1"/>
  <c r="AC58" i="31" s="1"/>
  <c r="AD58" i="31" s="1"/>
  <c r="AE58" i="31" s="1"/>
  <c r="AF58" i="31" s="1"/>
  <c r="AG58" i="31" s="1"/>
  <c r="AH58" i="31" s="1"/>
  <c r="AI58" i="31" s="1"/>
  <c r="AJ58" i="31" s="1"/>
  <c r="AK58" i="31" s="1"/>
  <c r="AL58" i="31" s="1"/>
  <c r="AM58" i="31" s="1"/>
  <c r="AN58" i="31" s="1"/>
  <c r="AO58" i="31" s="1"/>
  <c r="AP58" i="31" s="1"/>
  <c r="AQ58" i="31" s="1"/>
  <c r="AR58" i="31" s="1"/>
  <c r="AS58" i="31" s="1"/>
  <c r="AT58" i="31" s="1"/>
  <c r="AU58" i="31" s="1"/>
  <c r="AV58" i="31" s="1"/>
  <c r="AW58" i="31" s="1"/>
  <c r="AX58" i="31" s="1"/>
  <c r="AY58" i="31" s="1"/>
  <c r="S67" i="31"/>
  <c r="T67" i="31" s="1"/>
  <c r="U67" i="31" s="1"/>
  <c r="V67" i="31" s="1"/>
  <c r="W67" i="31" s="1"/>
  <c r="X67" i="31" s="1"/>
  <c r="Y67" i="31" s="1"/>
  <c r="Z67" i="31" s="1"/>
  <c r="AA67" i="31" s="1"/>
  <c r="AB67" i="31" s="1"/>
  <c r="AC67" i="31" s="1"/>
  <c r="AD67" i="31" s="1"/>
  <c r="AE67" i="31" s="1"/>
  <c r="AF67" i="31" s="1"/>
  <c r="AG67" i="31" s="1"/>
  <c r="AH67" i="31" s="1"/>
  <c r="AI67" i="31" s="1"/>
  <c r="AJ67" i="31" s="1"/>
  <c r="AK67" i="31" s="1"/>
  <c r="AL67" i="31" s="1"/>
  <c r="AM67" i="31" s="1"/>
  <c r="AN67" i="31" s="1"/>
  <c r="AO67" i="31" s="1"/>
  <c r="AP67" i="31" s="1"/>
  <c r="AQ67" i="31" s="1"/>
  <c r="AR67" i="31" s="1"/>
  <c r="AS67" i="31" s="1"/>
  <c r="AT67" i="31" s="1"/>
  <c r="AU67" i="31" s="1"/>
  <c r="AV67" i="31" s="1"/>
  <c r="AW67" i="31" s="1"/>
  <c r="AX67" i="31" s="1"/>
  <c r="AY67" i="31" s="1"/>
  <c r="U22" i="30"/>
  <c r="V22" i="30" s="1"/>
  <c r="W22" i="30" s="1"/>
  <c r="X22" i="30" s="1"/>
  <c r="Y22" i="30" s="1"/>
  <c r="Z22" i="30" s="1"/>
  <c r="AA22" i="30" s="1"/>
  <c r="AB22" i="30" s="1"/>
  <c r="AC22" i="30" s="1"/>
  <c r="AD22" i="30" s="1"/>
  <c r="AE22" i="30" s="1"/>
  <c r="AF22" i="30" s="1"/>
  <c r="AG22" i="30" s="1"/>
  <c r="AH22" i="30" s="1"/>
  <c r="AI22" i="30" s="1"/>
  <c r="AJ22" i="30" s="1"/>
  <c r="AK22" i="30" s="1"/>
  <c r="AL22" i="30" s="1"/>
  <c r="AM22" i="30" s="1"/>
  <c r="AN22" i="30" s="1"/>
  <c r="AO22" i="30" s="1"/>
  <c r="AP22" i="30" s="1"/>
  <c r="AQ22" i="30" s="1"/>
  <c r="AR22" i="30" s="1"/>
  <c r="AS22" i="30" s="1"/>
  <c r="AT22" i="30" s="1"/>
  <c r="AU22" i="30" s="1"/>
  <c r="AV22" i="30" s="1"/>
  <c r="AW22" i="30" s="1"/>
  <c r="AX22" i="30" s="1"/>
  <c r="AY22" i="30" s="1"/>
  <c r="U23" i="30"/>
  <c r="V23" i="30" s="1"/>
  <c r="W23" i="30" s="1"/>
  <c r="X23" i="30" s="1"/>
  <c r="Y23" i="30" s="1"/>
  <c r="Z23" i="30" s="1"/>
  <c r="AA23" i="30" s="1"/>
  <c r="AB23" i="30" s="1"/>
  <c r="AC23" i="30" s="1"/>
  <c r="AD23" i="30" s="1"/>
  <c r="AE23" i="30" s="1"/>
  <c r="AF23" i="30" s="1"/>
  <c r="AG23" i="30" s="1"/>
  <c r="AH23" i="30" s="1"/>
  <c r="AI23" i="30" s="1"/>
  <c r="AJ23" i="30" s="1"/>
  <c r="AK23" i="30" s="1"/>
  <c r="AL23" i="30" s="1"/>
  <c r="AM23" i="30" s="1"/>
  <c r="AN23" i="30" s="1"/>
  <c r="AO23" i="30" s="1"/>
  <c r="AP23" i="30" s="1"/>
  <c r="AQ23" i="30" s="1"/>
  <c r="AR23" i="30" s="1"/>
  <c r="AS23" i="30" s="1"/>
  <c r="AT23" i="30" s="1"/>
  <c r="AU23" i="30" s="1"/>
  <c r="AV23" i="30" s="1"/>
  <c r="AW23" i="30" s="1"/>
  <c r="AX23" i="30" s="1"/>
  <c r="AY23" i="30" s="1"/>
  <c r="U21" i="30"/>
  <c r="V21" i="30" s="1"/>
  <c r="W21" i="30" s="1"/>
  <c r="X21" i="30" s="1"/>
  <c r="Y21" i="30" s="1"/>
  <c r="Z21" i="30" s="1"/>
  <c r="AA21" i="30" s="1"/>
  <c r="AB21" i="30" s="1"/>
  <c r="AC21" i="30" s="1"/>
  <c r="AD21" i="30" s="1"/>
  <c r="AE21" i="30" s="1"/>
  <c r="AF21" i="30" s="1"/>
  <c r="AG21" i="30" s="1"/>
  <c r="AH21" i="30" s="1"/>
  <c r="AI21" i="30" s="1"/>
  <c r="AJ21" i="30" s="1"/>
  <c r="AK21" i="30" s="1"/>
  <c r="AL21" i="30" s="1"/>
  <c r="AM21" i="30" s="1"/>
  <c r="AN21" i="30" s="1"/>
  <c r="AO21" i="30" s="1"/>
  <c r="AP21" i="30" s="1"/>
  <c r="AQ21" i="30" s="1"/>
  <c r="AR21" i="30" s="1"/>
  <c r="AS21" i="30" s="1"/>
  <c r="AT21" i="30" s="1"/>
  <c r="AU21" i="30" s="1"/>
  <c r="AV21" i="30" s="1"/>
  <c r="AW21" i="30" s="1"/>
  <c r="AX21" i="30" s="1"/>
  <c r="AY21" i="30" s="1"/>
  <c r="C37" i="28"/>
  <c r="R58" i="26"/>
  <c r="R96" i="19"/>
  <c r="W8" i="17"/>
  <c r="V250" i="17" s="1"/>
  <c r="W54" i="14"/>
  <c r="BD57" i="14"/>
  <c r="BC59" i="14"/>
  <c r="BC15" i="17"/>
  <c r="BB251" i="17" s="1"/>
  <c r="X50" i="14"/>
  <c r="T63" i="8"/>
  <c r="U63" i="8" s="1"/>
  <c r="V63" i="8" s="1"/>
  <c r="S58" i="26"/>
  <c r="S96" i="19"/>
  <c r="D37" i="28"/>
  <c r="U119" i="24"/>
  <c r="U158" i="24"/>
  <c r="U132" i="24"/>
  <c r="U122" i="24"/>
  <c r="U161" i="24"/>
  <c r="U183" i="24"/>
  <c r="U128" i="24"/>
  <c r="U167" i="24"/>
  <c r="U170" i="24"/>
  <c r="U186" i="24"/>
  <c r="U135" i="24"/>
  <c r="U116" i="24"/>
  <c r="U151" i="24"/>
  <c r="U179" i="24"/>
  <c r="U173" i="24"/>
  <c r="U148" i="24"/>
  <c r="U154" i="24"/>
  <c r="U142" i="24"/>
  <c r="U176" i="24"/>
  <c r="U145" i="24"/>
  <c r="U125" i="24"/>
  <c r="S134" i="24"/>
  <c r="R136" i="24"/>
  <c r="S172" i="24"/>
  <c r="R174" i="24"/>
  <c r="AZ56" i="8"/>
  <c r="AZ61" i="8"/>
  <c r="AZ54" i="16" s="1"/>
  <c r="R146" i="24"/>
  <c r="S144" i="24"/>
  <c r="S121" i="24"/>
  <c r="R123" i="24"/>
  <c r="S124" i="24"/>
  <c r="R126" i="24"/>
  <c r="S157" i="24"/>
  <c r="R159" i="24"/>
  <c r="R143" i="24"/>
  <c r="S141" i="24"/>
  <c r="S127" i="24"/>
  <c r="R129" i="24"/>
  <c r="U102" i="23"/>
  <c r="U123" i="23" s="1"/>
  <c r="U135" i="23" s="1"/>
  <c r="S115" i="24"/>
  <c r="R117" i="24"/>
  <c r="S153" i="24"/>
  <c r="R155" i="24"/>
  <c r="S169" i="24"/>
  <c r="R171" i="24"/>
  <c r="R187" i="24"/>
  <c r="S185" i="24"/>
  <c r="BA23" i="8"/>
  <c r="BA26" i="8" s="1"/>
  <c r="BB22" i="8"/>
  <c r="AZ59" i="16"/>
  <c r="S118" i="24"/>
  <c r="R120" i="24"/>
  <c r="S160" i="24"/>
  <c r="R162" i="24"/>
  <c r="R184" i="24"/>
  <c r="S182" i="24"/>
  <c r="S147" i="24"/>
  <c r="R149" i="24"/>
  <c r="S131" i="24"/>
  <c r="R133" i="24"/>
  <c r="S166" i="24"/>
  <c r="R168" i="24"/>
  <c r="S175" i="24"/>
  <c r="R177" i="24"/>
  <c r="R152" i="24"/>
  <c r="S150" i="24"/>
  <c r="S178" i="24"/>
  <c r="R180" i="24"/>
  <c r="X59" i="14"/>
  <c r="V12" i="19"/>
  <c r="X51" i="14"/>
  <c r="X9" i="19" s="1"/>
  <c r="BD8" i="17"/>
  <c r="BE50" i="14"/>
  <c r="W9" i="17"/>
  <c r="V12" i="17"/>
  <c r="AH12" i="17"/>
  <c r="AI9" i="17"/>
  <c r="Z10" i="17"/>
  <c r="AI10" i="17"/>
  <c r="BD16" i="17"/>
  <c r="BG9" i="17"/>
  <c r="BG10" i="17"/>
  <c r="AI8" i="17"/>
  <c r="Y11" i="17"/>
  <c r="AI11" i="17"/>
  <c r="AJ57" i="14"/>
  <c r="AJ15" i="19" s="1"/>
  <c r="AI15" i="17"/>
  <c r="AH251" i="17" s="1"/>
  <c r="AK58" i="14"/>
  <c r="AK16" i="19" s="1"/>
  <c r="AJ16" i="17"/>
  <c r="BD54" i="14"/>
  <c r="BD11" i="17"/>
  <c r="AI59" i="14"/>
  <c r="Y57" i="14"/>
  <c r="X15" i="17"/>
  <c r="W251" i="17" s="1"/>
  <c r="Z58" i="14"/>
  <c r="Z16" i="19" s="1"/>
  <c r="Y16" i="17"/>
  <c r="AF8" i="13"/>
  <c r="AA8" i="13"/>
  <c r="BH52" i="14"/>
  <c r="BH10" i="19" s="1"/>
  <c r="BH51" i="14"/>
  <c r="BH9" i="19" s="1"/>
  <c r="AJ52" i="14"/>
  <c r="AJ10" i="19" s="1"/>
  <c r="Z53" i="14"/>
  <c r="Z11" i="19" s="1"/>
  <c r="BE53" i="14"/>
  <c r="BE11" i="19" s="1"/>
  <c r="AJ53" i="14"/>
  <c r="AJ11" i="19" s="1"/>
  <c r="AA52" i="14"/>
  <c r="AA10" i="19" s="1"/>
  <c r="AI54" i="14"/>
  <c r="AJ50" i="14"/>
  <c r="AJ51" i="14"/>
  <c r="AJ9" i="19" s="1"/>
  <c r="Z215" i="14"/>
  <c r="BE58" i="14"/>
  <c r="BE16" i="19" s="1"/>
  <c r="AK8" i="13"/>
  <c r="BA8" i="13"/>
  <c r="S8" i="13"/>
  <c r="W8" i="13"/>
  <c r="AG8" i="13"/>
  <c r="AZ234" i="24" l="1"/>
  <c r="AZ236" i="24"/>
  <c r="AZ235" i="24"/>
  <c r="AZ237" i="24"/>
  <c r="AZ233" i="24"/>
  <c r="AU91" i="17"/>
  <c r="X320" i="14"/>
  <c r="X322" i="14"/>
  <c r="X321" i="14"/>
  <c r="X318" i="14"/>
  <c r="X327" i="14"/>
  <c r="X316" i="14"/>
  <c r="X315" i="14"/>
  <c r="X319" i="14"/>
  <c r="X328" i="14"/>
  <c r="X323" i="14"/>
  <c r="X326" i="14"/>
  <c r="X317" i="14"/>
  <c r="X324" i="14"/>
  <c r="X325" i="14"/>
  <c r="X8" i="17"/>
  <c r="W250" i="17" s="1"/>
  <c r="AZ109" i="23"/>
  <c r="V96" i="19"/>
  <c r="V58" i="26"/>
  <c r="V88" i="26" s="1"/>
  <c r="W63" i="8"/>
  <c r="G37" i="28"/>
  <c r="Y15" i="19"/>
  <c r="V103" i="23"/>
  <c r="U136" i="23"/>
  <c r="AH250" i="17"/>
  <c r="W12" i="19"/>
  <c r="X8" i="19"/>
  <c r="X12" i="19" s="1"/>
  <c r="AJ8" i="19"/>
  <c r="AJ12" i="19" s="1"/>
  <c r="BD12" i="17"/>
  <c r="BC250" i="17"/>
  <c r="BD15" i="19"/>
  <c r="BE8" i="19"/>
  <c r="BE12" i="19" s="1"/>
  <c r="Z228" i="14"/>
  <c r="Y50" i="14"/>
  <c r="X54" i="14"/>
  <c r="V148" i="24"/>
  <c r="V176" i="24"/>
  <c r="V173" i="24"/>
  <c r="V135" i="24"/>
  <c r="V128" i="24"/>
  <c r="V132" i="24"/>
  <c r="V125" i="24"/>
  <c r="V154" i="24"/>
  <c r="V151" i="24"/>
  <c r="V170" i="24"/>
  <c r="V161" i="24"/>
  <c r="V119" i="24"/>
  <c r="V145" i="24"/>
  <c r="V116" i="24"/>
  <c r="V167" i="24"/>
  <c r="V122" i="24"/>
  <c r="F37" i="28"/>
  <c r="U58" i="26"/>
  <c r="U88" i="26" s="1"/>
  <c r="U96" i="19"/>
  <c r="V142" i="24"/>
  <c r="V179" i="24"/>
  <c r="V186" i="24"/>
  <c r="V183" i="24"/>
  <c r="V158" i="24"/>
  <c r="AZ61" i="16"/>
  <c r="AZ110" i="23"/>
  <c r="AZ226" i="24"/>
  <c r="AZ58" i="16"/>
  <c r="AZ43" i="22"/>
  <c r="AZ46" i="31"/>
  <c r="AZ13" i="30"/>
  <c r="AZ22" i="30" s="1"/>
  <c r="AZ224" i="24"/>
  <c r="AZ225" i="24"/>
  <c r="AZ227" i="24"/>
  <c r="AZ228" i="24"/>
  <c r="AZ107" i="23"/>
  <c r="AZ60" i="16"/>
  <c r="AZ42" i="22"/>
  <c r="AZ108" i="23"/>
  <c r="AZ56" i="16"/>
  <c r="AZ41" i="22"/>
  <c r="AZ57" i="16"/>
  <c r="AZ44" i="22"/>
  <c r="Y51" i="14"/>
  <c r="Y9" i="19" s="1"/>
  <c r="X9" i="17"/>
  <c r="BD15" i="17"/>
  <c r="BC251" i="17" s="1"/>
  <c r="BF50" i="14"/>
  <c r="BE8" i="17"/>
  <c r="BE57" i="14"/>
  <c r="BD59" i="14"/>
  <c r="T96" i="19"/>
  <c r="E37" i="28"/>
  <c r="T58" i="26"/>
  <c r="T88" i="26" s="1"/>
  <c r="T178" i="24"/>
  <c r="S180" i="24"/>
  <c r="S155" i="24"/>
  <c r="T153" i="24"/>
  <c r="T127" i="24"/>
  <c r="S129" i="24"/>
  <c r="T157" i="24"/>
  <c r="S159" i="24"/>
  <c r="S187" i="24"/>
  <c r="T185" i="24"/>
  <c r="V102" i="23"/>
  <c r="V123" i="23" s="1"/>
  <c r="V135" i="23" s="1"/>
  <c r="S146" i="24"/>
  <c r="T144" i="24"/>
  <c r="S136" i="24"/>
  <c r="T134" i="24"/>
  <c r="S133" i="24"/>
  <c r="T131" i="24"/>
  <c r="S152" i="24"/>
  <c r="T150" i="24"/>
  <c r="S120" i="24"/>
  <c r="T118" i="24"/>
  <c r="BA56" i="8"/>
  <c r="BA61" i="8"/>
  <c r="T141" i="24"/>
  <c r="S143" i="24"/>
  <c r="AZ104" i="23"/>
  <c r="S126" i="24"/>
  <c r="T124" i="24"/>
  <c r="S174" i="24"/>
  <c r="T172" i="24"/>
  <c r="T182" i="24"/>
  <c r="S184" i="24"/>
  <c r="T175" i="24"/>
  <c r="S177" i="24"/>
  <c r="BB23" i="8"/>
  <c r="BB26" i="8" s="1"/>
  <c r="BC22" i="8"/>
  <c r="T166" i="24"/>
  <c r="S168" i="24"/>
  <c r="T147" i="24"/>
  <c r="S149" i="24"/>
  <c r="S162" i="24"/>
  <c r="T160" i="24"/>
  <c r="T169" i="24"/>
  <c r="S171" i="24"/>
  <c r="T115" i="24"/>
  <c r="S117" i="24"/>
  <c r="T121" i="24"/>
  <c r="S123" i="24"/>
  <c r="AZ53" i="16"/>
  <c r="AZ45" i="22"/>
  <c r="AZ55" i="16"/>
  <c r="W12" i="17"/>
  <c r="AI12" i="17"/>
  <c r="AJ8" i="17"/>
  <c r="Y59" i="14"/>
  <c r="BE16" i="17"/>
  <c r="AJ11" i="17"/>
  <c r="Z11" i="17"/>
  <c r="BH9" i="17"/>
  <c r="AJ9" i="17"/>
  <c r="AJ59" i="14"/>
  <c r="AA10" i="17"/>
  <c r="AJ10" i="17"/>
  <c r="BH10" i="17"/>
  <c r="BE54" i="14"/>
  <c r="BE11" i="17"/>
  <c r="AL58" i="14"/>
  <c r="AL16" i="19" s="1"/>
  <c r="AK16" i="17"/>
  <c r="AA58" i="14"/>
  <c r="AA16" i="19" s="1"/>
  <c r="Z16" i="17"/>
  <c r="Z57" i="14"/>
  <c r="Y15" i="17"/>
  <c r="X251" i="17" s="1"/>
  <c r="AK57" i="14"/>
  <c r="AK15" i="19" s="1"/>
  <c r="AJ15" i="17"/>
  <c r="AI251" i="17" s="1"/>
  <c r="AB8" i="13"/>
  <c r="AA53" i="14"/>
  <c r="AA11" i="19" s="1"/>
  <c r="AK51" i="14"/>
  <c r="AK9" i="19" s="1"/>
  <c r="BI51" i="14"/>
  <c r="AK53" i="14"/>
  <c r="AK11" i="19" s="1"/>
  <c r="AB52" i="14"/>
  <c r="AB10" i="19" s="1"/>
  <c r="BF53" i="14"/>
  <c r="BF11" i="19" s="1"/>
  <c r="AJ54" i="14"/>
  <c r="AK50" i="14"/>
  <c r="AK52" i="14"/>
  <c r="AK10" i="19" s="1"/>
  <c r="BI52" i="14"/>
  <c r="AA215" i="14"/>
  <c r="BF58" i="14"/>
  <c r="BF16" i="19" s="1"/>
  <c r="X8" i="13"/>
  <c r="AP8" i="13"/>
  <c r="AC8" i="13"/>
  <c r="AH8" i="13"/>
  <c r="AL8" i="13"/>
  <c r="BB8" i="13"/>
  <c r="BA237" i="24" l="1"/>
  <c r="BA235" i="24"/>
  <c r="BA236" i="24"/>
  <c r="BA233" i="24"/>
  <c r="BB233" i="24" s="1"/>
  <c r="BA234" i="24"/>
  <c r="X63" i="8"/>
  <c r="W96" i="19"/>
  <c r="W58" i="26"/>
  <c r="W88" i="26" s="1"/>
  <c r="AV91" i="17"/>
  <c r="V136" i="19"/>
  <c r="V137" i="19"/>
  <c r="V135" i="19"/>
  <c r="T137" i="19"/>
  <c r="T150" i="19" s="1"/>
  <c r="T136" i="19"/>
  <c r="T135" i="19"/>
  <c r="U137" i="19"/>
  <c r="U150" i="19" s="1"/>
  <c r="U136" i="19"/>
  <c r="U135" i="19"/>
  <c r="Y327" i="14"/>
  <c r="Y322" i="14"/>
  <c r="Y328" i="14"/>
  <c r="Y324" i="14"/>
  <c r="Y326" i="14"/>
  <c r="Y320" i="14"/>
  <c r="Y323" i="14"/>
  <c r="Y318" i="14"/>
  <c r="Y325" i="14"/>
  <c r="Y316" i="14"/>
  <c r="Y315" i="14"/>
  <c r="Y319" i="14"/>
  <c r="Y321" i="14"/>
  <c r="Y317" i="14"/>
  <c r="Y54" i="14"/>
  <c r="BA60" i="16"/>
  <c r="Q51" i="28"/>
  <c r="P48" i="28"/>
  <c r="L49" i="28"/>
  <c r="H51" i="28"/>
  <c r="E53" i="28"/>
  <c r="O52" i="28"/>
  <c r="K53" i="28"/>
  <c r="G48" i="28"/>
  <c r="C95" i="28" s="1"/>
  <c r="D95" i="28" s="1"/>
  <c r="E95" i="28" s="1"/>
  <c r="F95" i="28" s="1"/>
  <c r="G95" i="28" s="1"/>
  <c r="H95" i="28" s="1"/>
  <c r="I95" i="28" s="1"/>
  <c r="J95" i="28" s="1"/>
  <c r="K95" i="28" s="1"/>
  <c r="L95" i="28" s="1"/>
  <c r="M95" i="28" s="1"/>
  <c r="N95" i="28" s="1"/>
  <c r="O95" i="28" s="1"/>
  <c r="P95" i="28" s="1"/>
  <c r="Q95" i="28" s="1"/>
  <c r="L52" i="28"/>
  <c r="E48" i="28"/>
  <c r="J51" i="28"/>
  <c r="F52" i="28"/>
  <c r="B53" i="28"/>
  <c r="I53" i="28"/>
  <c r="J48" i="28"/>
  <c r="E49" i="28"/>
  <c r="P49" i="28"/>
  <c r="L51" i="28"/>
  <c r="F48" i="28"/>
  <c r="C92" i="28" s="1"/>
  <c r="D92" i="28" s="1"/>
  <c r="E92" i="28" s="1"/>
  <c r="F92" i="28" s="1"/>
  <c r="G92" i="28" s="1"/>
  <c r="H92" i="28" s="1"/>
  <c r="I92" i="28" s="1"/>
  <c r="J92" i="28" s="1"/>
  <c r="K92" i="28" s="1"/>
  <c r="L92" i="28" s="1"/>
  <c r="M92" i="28" s="1"/>
  <c r="N92" i="28" s="1"/>
  <c r="O92" i="28" s="1"/>
  <c r="P92" i="28" s="1"/>
  <c r="Q92" i="28" s="1"/>
  <c r="Q48" i="28"/>
  <c r="M51" i="28"/>
  <c r="G51" i="28"/>
  <c r="L48" i="28"/>
  <c r="D51" i="28"/>
  <c r="K52" i="28"/>
  <c r="K51" i="28"/>
  <c r="B52" i="28"/>
  <c r="B48" i="28"/>
  <c r="C85" i="28" s="1"/>
  <c r="D85" i="28" s="1"/>
  <c r="E85" i="28" s="1"/>
  <c r="F85" i="28" s="1"/>
  <c r="G85" i="28" s="1"/>
  <c r="H85" i="28" s="1"/>
  <c r="I85" i="28" s="1"/>
  <c r="J85" i="28" s="1"/>
  <c r="K85" i="28" s="1"/>
  <c r="L85" i="28" s="1"/>
  <c r="M85" i="28" s="1"/>
  <c r="N85" i="28" s="1"/>
  <c r="O85" i="28" s="1"/>
  <c r="P85" i="28" s="1"/>
  <c r="Q85" i="28" s="1"/>
  <c r="D53" i="28"/>
  <c r="O53" i="28"/>
  <c r="K48" i="28"/>
  <c r="M53" i="28"/>
  <c r="M48" i="28"/>
  <c r="N51" i="28"/>
  <c r="J52" i="28"/>
  <c r="F53" i="28"/>
  <c r="I48" i="28"/>
  <c r="C49" i="28"/>
  <c r="I49" i="28"/>
  <c r="E51" i="28"/>
  <c r="P51" i="28"/>
  <c r="N48" i="28"/>
  <c r="H53" i="28"/>
  <c r="D48" i="28"/>
  <c r="O48" i="28"/>
  <c r="K49" i="28"/>
  <c r="F49" i="28"/>
  <c r="Q52" i="28"/>
  <c r="H49" i="28"/>
  <c r="C48" i="28"/>
  <c r="F51" i="28"/>
  <c r="H52" i="28"/>
  <c r="C52" i="28"/>
  <c r="N52" i="28"/>
  <c r="J53" i="28"/>
  <c r="B49" i="28"/>
  <c r="N49" i="28"/>
  <c r="M49" i="28"/>
  <c r="I51" i="28"/>
  <c r="E52" i="28"/>
  <c r="G49" i="28"/>
  <c r="L53" i="28"/>
  <c r="H48" i="28"/>
  <c r="D49" i="28"/>
  <c r="O49" i="28"/>
  <c r="C51" i="28"/>
  <c r="G52" i="28"/>
  <c r="C53" i="28"/>
  <c r="N53" i="28"/>
  <c r="J49" i="28"/>
  <c r="O51" i="28"/>
  <c r="Q49" i="28"/>
  <c r="B51" i="28"/>
  <c r="I52" i="28"/>
  <c r="P53" i="28"/>
  <c r="D52" i="28"/>
  <c r="G53" i="28"/>
  <c r="P52" i="28"/>
  <c r="M52" i="28"/>
  <c r="Q53" i="28"/>
  <c r="Z15" i="19"/>
  <c r="W103" i="23"/>
  <c r="V136" i="23"/>
  <c r="AI250" i="17"/>
  <c r="BE12" i="17"/>
  <c r="BD250" i="17"/>
  <c r="BF8" i="19"/>
  <c r="BF12" i="19" s="1"/>
  <c r="AK8" i="19"/>
  <c r="AK12" i="19" s="1"/>
  <c r="BE15" i="19"/>
  <c r="Y8" i="19"/>
  <c r="Y12" i="19" s="1"/>
  <c r="BI10" i="19"/>
  <c r="BJ52" i="14"/>
  <c r="BI9" i="19"/>
  <c r="BJ51" i="14"/>
  <c r="Z50" i="14"/>
  <c r="Y8" i="17"/>
  <c r="X250" i="17" s="1"/>
  <c r="AA228" i="14"/>
  <c r="W145" i="24"/>
  <c r="X145" i="24" s="1"/>
  <c r="Y145" i="24" s="1"/>
  <c r="Z145" i="24" s="1"/>
  <c r="AA145" i="24" s="1"/>
  <c r="AB145" i="24" s="1"/>
  <c r="AC145" i="24" s="1"/>
  <c r="AD145" i="24" s="1"/>
  <c r="AE145" i="24" s="1"/>
  <c r="AF145" i="24" s="1"/>
  <c r="AG145" i="24" s="1"/>
  <c r="AH145" i="24" s="1"/>
  <c r="AI145" i="24" s="1"/>
  <c r="AJ145" i="24" s="1"/>
  <c r="AK145" i="24" s="1"/>
  <c r="AL145" i="24" s="1"/>
  <c r="AM145" i="24" s="1"/>
  <c r="AN145" i="24" s="1"/>
  <c r="AO145" i="24" s="1"/>
  <c r="AP145" i="24" s="1"/>
  <c r="AQ145" i="24" s="1"/>
  <c r="AR145" i="24" s="1"/>
  <c r="AS145" i="24" s="1"/>
  <c r="AT145" i="24" s="1"/>
  <c r="AU145" i="24" s="1"/>
  <c r="AV145" i="24" s="1"/>
  <c r="AW145" i="24" s="1"/>
  <c r="AX145" i="24" s="1"/>
  <c r="AY145" i="24" s="1"/>
  <c r="AZ145" i="24" s="1"/>
  <c r="BA145" i="24" s="1"/>
  <c r="W128" i="24"/>
  <c r="X128" i="24" s="1"/>
  <c r="Y128" i="24" s="1"/>
  <c r="Z128" i="24" s="1"/>
  <c r="AA128" i="24" s="1"/>
  <c r="AB128" i="24" s="1"/>
  <c r="AC128" i="24" s="1"/>
  <c r="AD128" i="24" s="1"/>
  <c r="AE128" i="24" s="1"/>
  <c r="AF128" i="24" s="1"/>
  <c r="AG128" i="24" s="1"/>
  <c r="AH128" i="24" s="1"/>
  <c r="AI128" i="24" s="1"/>
  <c r="AJ128" i="24" s="1"/>
  <c r="AK128" i="24" s="1"/>
  <c r="AL128" i="24" s="1"/>
  <c r="AM128" i="24" s="1"/>
  <c r="AN128" i="24" s="1"/>
  <c r="AO128" i="24" s="1"/>
  <c r="AP128" i="24" s="1"/>
  <c r="AQ128" i="24" s="1"/>
  <c r="AR128" i="24" s="1"/>
  <c r="AS128" i="24" s="1"/>
  <c r="AT128" i="24" s="1"/>
  <c r="AU128" i="24" s="1"/>
  <c r="AV128" i="24" s="1"/>
  <c r="AW128" i="24" s="1"/>
  <c r="AX128" i="24" s="1"/>
  <c r="AY128" i="24" s="1"/>
  <c r="AZ128" i="24" s="1"/>
  <c r="BA128" i="24" s="1"/>
  <c r="W148" i="24"/>
  <c r="X148" i="24" s="1"/>
  <c r="Y148" i="24" s="1"/>
  <c r="Z148" i="24" s="1"/>
  <c r="AA148" i="24" s="1"/>
  <c r="AB148" i="24" s="1"/>
  <c r="AC148" i="24" s="1"/>
  <c r="AD148" i="24" s="1"/>
  <c r="AE148" i="24" s="1"/>
  <c r="AF148" i="24" s="1"/>
  <c r="AG148" i="24" s="1"/>
  <c r="AH148" i="24" s="1"/>
  <c r="AI148" i="24" s="1"/>
  <c r="AJ148" i="24" s="1"/>
  <c r="AK148" i="24" s="1"/>
  <c r="AL148" i="24" s="1"/>
  <c r="AM148" i="24" s="1"/>
  <c r="AN148" i="24" s="1"/>
  <c r="AO148" i="24" s="1"/>
  <c r="AP148" i="24" s="1"/>
  <c r="AQ148" i="24" s="1"/>
  <c r="AR148" i="24" s="1"/>
  <c r="AS148" i="24" s="1"/>
  <c r="AT148" i="24" s="1"/>
  <c r="AU148" i="24" s="1"/>
  <c r="AV148" i="24" s="1"/>
  <c r="AW148" i="24" s="1"/>
  <c r="AX148" i="24" s="1"/>
  <c r="AY148" i="24" s="1"/>
  <c r="AZ148" i="24" s="1"/>
  <c r="BA148" i="24" s="1"/>
  <c r="W170" i="24"/>
  <c r="X170" i="24" s="1"/>
  <c r="Y170" i="24" s="1"/>
  <c r="Z170" i="24" s="1"/>
  <c r="AA170" i="24" s="1"/>
  <c r="AB170" i="24" s="1"/>
  <c r="AC170" i="24" s="1"/>
  <c r="AD170" i="24" s="1"/>
  <c r="AE170" i="24" s="1"/>
  <c r="AF170" i="24" s="1"/>
  <c r="AG170" i="24" s="1"/>
  <c r="AH170" i="24" s="1"/>
  <c r="AI170" i="24" s="1"/>
  <c r="AJ170" i="24" s="1"/>
  <c r="AK170" i="24" s="1"/>
  <c r="AL170" i="24" s="1"/>
  <c r="AM170" i="24" s="1"/>
  <c r="AN170" i="24" s="1"/>
  <c r="AO170" i="24" s="1"/>
  <c r="AP170" i="24" s="1"/>
  <c r="AQ170" i="24" s="1"/>
  <c r="AR170" i="24" s="1"/>
  <c r="AS170" i="24" s="1"/>
  <c r="AT170" i="24" s="1"/>
  <c r="AU170" i="24" s="1"/>
  <c r="AV170" i="24" s="1"/>
  <c r="AW170" i="24" s="1"/>
  <c r="AX170" i="24" s="1"/>
  <c r="AY170" i="24" s="1"/>
  <c r="AZ170" i="24" s="1"/>
  <c r="BA170" i="24" s="1"/>
  <c r="W132" i="24"/>
  <c r="X132" i="24" s="1"/>
  <c r="Y132" i="24" s="1"/>
  <c r="Z132" i="24" s="1"/>
  <c r="AA132" i="24" s="1"/>
  <c r="AB132" i="24" s="1"/>
  <c r="AC132" i="24" s="1"/>
  <c r="AD132" i="24" s="1"/>
  <c r="AE132" i="24" s="1"/>
  <c r="AF132" i="24" s="1"/>
  <c r="AG132" i="24" s="1"/>
  <c r="AH132" i="24" s="1"/>
  <c r="AI132" i="24" s="1"/>
  <c r="AJ132" i="24" s="1"/>
  <c r="AK132" i="24" s="1"/>
  <c r="AL132" i="24" s="1"/>
  <c r="AM132" i="24" s="1"/>
  <c r="AN132" i="24" s="1"/>
  <c r="AO132" i="24" s="1"/>
  <c r="AP132" i="24" s="1"/>
  <c r="AQ132" i="24" s="1"/>
  <c r="AR132" i="24" s="1"/>
  <c r="AS132" i="24" s="1"/>
  <c r="AT132" i="24" s="1"/>
  <c r="AU132" i="24" s="1"/>
  <c r="AV132" i="24" s="1"/>
  <c r="AW132" i="24" s="1"/>
  <c r="AX132" i="24" s="1"/>
  <c r="AY132" i="24" s="1"/>
  <c r="AZ132" i="24" s="1"/>
  <c r="BA132" i="24" s="1"/>
  <c r="W158" i="24"/>
  <c r="X158" i="24" s="1"/>
  <c r="Y158" i="24" s="1"/>
  <c r="Z158" i="24" s="1"/>
  <c r="AA158" i="24" s="1"/>
  <c r="AB158" i="24" s="1"/>
  <c r="AC158" i="24" s="1"/>
  <c r="AD158" i="24" s="1"/>
  <c r="AE158" i="24" s="1"/>
  <c r="AF158" i="24" s="1"/>
  <c r="AG158" i="24" s="1"/>
  <c r="AH158" i="24" s="1"/>
  <c r="AI158" i="24" s="1"/>
  <c r="AJ158" i="24" s="1"/>
  <c r="AK158" i="24" s="1"/>
  <c r="AL158" i="24" s="1"/>
  <c r="AM158" i="24" s="1"/>
  <c r="AN158" i="24" s="1"/>
  <c r="AO158" i="24" s="1"/>
  <c r="AP158" i="24" s="1"/>
  <c r="AQ158" i="24" s="1"/>
  <c r="AR158" i="24" s="1"/>
  <c r="AS158" i="24" s="1"/>
  <c r="AT158" i="24" s="1"/>
  <c r="AU158" i="24" s="1"/>
  <c r="AV158" i="24" s="1"/>
  <c r="AW158" i="24" s="1"/>
  <c r="AX158" i="24" s="1"/>
  <c r="AY158" i="24" s="1"/>
  <c r="AZ158" i="24" s="1"/>
  <c r="BA158" i="24" s="1"/>
  <c r="W151" i="24"/>
  <c r="X151" i="24" s="1"/>
  <c r="Y151" i="24" s="1"/>
  <c r="Z151" i="24" s="1"/>
  <c r="AA151" i="24" s="1"/>
  <c r="AB151" i="24" s="1"/>
  <c r="AC151" i="24" s="1"/>
  <c r="AD151" i="24" s="1"/>
  <c r="AE151" i="24" s="1"/>
  <c r="AF151" i="24" s="1"/>
  <c r="AG151" i="24" s="1"/>
  <c r="AH151" i="24" s="1"/>
  <c r="AI151" i="24" s="1"/>
  <c r="AJ151" i="24" s="1"/>
  <c r="AK151" i="24" s="1"/>
  <c r="AL151" i="24" s="1"/>
  <c r="AM151" i="24" s="1"/>
  <c r="AN151" i="24" s="1"/>
  <c r="AO151" i="24" s="1"/>
  <c r="AP151" i="24" s="1"/>
  <c r="AQ151" i="24" s="1"/>
  <c r="AR151" i="24" s="1"/>
  <c r="AS151" i="24" s="1"/>
  <c r="AT151" i="24" s="1"/>
  <c r="AU151" i="24" s="1"/>
  <c r="AV151" i="24" s="1"/>
  <c r="AW151" i="24" s="1"/>
  <c r="AX151" i="24" s="1"/>
  <c r="AY151" i="24" s="1"/>
  <c r="AZ151" i="24" s="1"/>
  <c r="BA151" i="24" s="1"/>
  <c r="W183" i="24"/>
  <c r="X183" i="24" s="1"/>
  <c r="Y183" i="24" s="1"/>
  <c r="Z183" i="24" s="1"/>
  <c r="AA183" i="24" s="1"/>
  <c r="AB183" i="24" s="1"/>
  <c r="AC183" i="24" s="1"/>
  <c r="AD183" i="24" s="1"/>
  <c r="AE183" i="24" s="1"/>
  <c r="AF183" i="24" s="1"/>
  <c r="AG183" i="24" s="1"/>
  <c r="AH183" i="24" s="1"/>
  <c r="AI183" i="24" s="1"/>
  <c r="AJ183" i="24" s="1"/>
  <c r="AK183" i="24" s="1"/>
  <c r="AL183" i="24" s="1"/>
  <c r="AM183" i="24" s="1"/>
  <c r="AN183" i="24" s="1"/>
  <c r="AO183" i="24" s="1"/>
  <c r="AP183" i="24" s="1"/>
  <c r="AQ183" i="24" s="1"/>
  <c r="AR183" i="24" s="1"/>
  <c r="AS183" i="24" s="1"/>
  <c r="AT183" i="24" s="1"/>
  <c r="AU183" i="24" s="1"/>
  <c r="AV183" i="24" s="1"/>
  <c r="AW183" i="24" s="1"/>
  <c r="AX183" i="24" s="1"/>
  <c r="AY183" i="24" s="1"/>
  <c r="AZ183" i="24" s="1"/>
  <c r="BA183" i="24" s="1"/>
  <c r="W122" i="24"/>
  <c r="X122" i="24" s="1"/>
  <c r="Y122" i="24" s="1"/>
  <c r="Z122" i="24" s="1"/>
  <c r="AA122" i="24" s="1"/>
  <c r="AB122" i="24" s="1"/>
  <c r="AC122" i="24" s="1"/>
  <c r="AD122" i="24" s="1"/>
  <c r="AE122" i="24" s="1"/>
  <c r="AF122" i="24" s="1"/>
  <c r="AG122" i="24" s="1"/>
  <c r="AH122" i="24" s="1"/>
  <c r="AI122" i="24" s="1"/>
  <c r="AJ122" i="24" s="1"/>
  <c r="AK122" i="24" s="1"/>
  <c r="AL122" i="24" s="1"/>
  <c r="AM122" i="24" s="1"/>
  <c r="AN122" i="24" s="1"/>
  <c r="AO122" i="24" s="1"/>
  <c r="AP122" i="24" s="1"/>
  <c r="AQ122" i="24" s="1"/>
  <c r="AR122" i="24" s="1"/>
  <c r="AS122" i="24" s="1"/>
  <c r="AT122" i="24" s="1"/>
  <c r="AU122" i="24" s="1"/>
  <c r="AV122" i="24" s="1"/>
  <c r="AW122" i="24" s="1"/>
  <c r="AX122" i="24" s="1"/>
  <c r="AY122" i="24" s="1"/>
  <c r="AZ122" i="24" s="1"/>
  <c r="BA122" i="24" s="1"/>
  <c r="W119" i="24"/>
  <c r="X119" i="24" s="1"/>
  <c r="Y119" i="24" s="1"/>
  <c r="Z119" i="24" s="1"/>
  <c r="AA119" i="24" s="1"/>
  <c r="AB119" i="24" s="1"/>
  <c r="AC119" i="24" s="1"/>
  <c r="AD119" i="24" s="1"/>
  <c r="AE119" i="24" s="1"/>
  <c r="AF119" i="24" s="1"/>
  <c r="AG119" i="24" s="1"/>
  <c r="AH119" i="24" s="1"/>
  <c r="AI119" i="24" s="1"/>
  <c r="AJ119" i="24" s="1"/>
  <c r="AK119" i="24" s="1"/>
  <c r="AL119" i="24" s="1"/>
  <c r="AM119" i="24" s="1"/>
  <c r="AN119" i="24" s="1"/>
  <c r="AO119" i="24" s="1"/>
  <c r="AP119" i="24" s="1"/>
  <c r="AQ119" i="24" s="1"/>
  <c r="AR119" i="24" s="1"/>
  <c r="AS119" i="24" s="1"/>
  <c r="AT119" i="24" s="1"/>
  <c r="AU119" i="24" s="1"/>
  <c r="AV119" i="24" s="1"/>
  <c r="AW119" i="24" s="1"/>
  <c r="AX119" i="24" s="1"/>
  <c r="AY119" i="24" s="1"/>
  <c r="AZ119" i="24" s="1"/>
  <c r="BA119" i="24" s="1"/>
  <c r="W154" i="24"/>
  <c r="X154" i="24" s="1"/>
  <c r="Y154" i="24" s="1"/>
  <c r="Z154" i="24" s="1"/>
  <c r="AA154" i="24" s="1"/>
  <c r="AB154" i="24" s="1"/>
  <c r="AC154" i="24" s="1"/>
  <c r="AD154" i="24" s="1"/>
  <c r="AE154" i="24" s="1"/>
  <c r="AF154" i="24" s="1"/>
  <c r="AG154" i="24" s="1"/>
  <c r="AH154" i="24" s="1"/>
  <c r="AI154" i="24" s="1"/>
  <c r="AJ154" i="24" s="1"/>
  <c r="AK154" i="24" s="1"/>
  <c r="AL154" i="24" s="1"/>
  <c r="AM154" i="24" s="1"/>
  <c r="AN154" i="24" s="1"/>
  <c r="AO154" i="24" s="1"/>
  <c r="AP154" i="24" s="1"/>
  <c r="AQ154" i="24" s="1"/>
  <c r="AR154" i="24" s="1"/>
  <c r="AS154" i="24" s="1"/>
  <c r="AT154" i="24" s="1"/>
  <c r="AU154" i="24" s="1"/>
  <c r="AV154" i="24" s="1"/>
  <c r="AW154" i="24" s="1"/>
  <c r="AX154" i="24" s="1"/>
  <c r="AY154" i="24" s="1"/>
  <c r="AZ154" i="24" s="1"/>
  <c r="BA154" i="24" s="1"/>
  <c r="W135" i="24"/>
  <c r="X135" i="24" s="1"/>
  <c r="Y135" i="24" s="1"/>
  <c r="Z135" i="24" s="1"/>
  <c r="AA135" i="24" s="1"/>
  <c r="AB135" i="24" s="1"/>
  <c r="AC135" i="24" s="1"/>
  <c r="AD135" i="24" s="1"/>
  <c r="AE135" i="24" s="1"/>
  <c r="AF135" i="24" s="1"/>
  <c r="AG135" i="24" s="1"/>
  <c r="AH135" i="24" s="1"/>
  <c r="AI135" i="24" s="1"/>
  <c r="AJ135" i="24" s="1"/>
  <c r="AK135" i="24" s="1"/>
  <c r="AL135" i="24" s="1"/>
  <c r="AM135" i="24" s="1"/>
  <c r="AN135" i="24" s="1"/>
  <c r="AO135" i="24" s="1"/>
  <c r="AP135" i="24" s="1"/>
  <c r="AQ135" i="24" s="1"/>
  <c r="AR135" i="24" s="1"/>
  <c r="AS135" i="24" s="1"/>
  <c r="AT135" i="24" s="1"/>
  <c r="AU135" i="24" s="1"/>
  <c r="AV135" i="24" s="1"/>
  <c r="AW135" i="24" s="1"/>
  <c r="AX135" i="24" s="1"/>
  <c r="AY135" i="24" s="1"/>
  <c r="AZ135" i="24" s="1"/>
  <c r="BA135" i="24" s="1"/>
  <c r="W179" i="24"/>
  <c r="X179" i="24" s="1"/>
  <c r="Y179" i="24" s="1"/>
  <c r="Z179" i="24" s="1"/>
  <c r="AA179" i="24" s="1"/>
  <c r="AB179" i="24" s="1"/>
  <c r="AC179" i="24" s="1"/>
  <c r="AD179" i="24" s="1"/>
  <c r="AE179" i="24" s="1"/>
  <c r="AF179" i="24" s="1"/>
  <c r="AG179" i="24" s="1"/>
  <c r="AH179" i="24" s="1"/>
  <c r="AI179" i="24" s="1"/>
  <c r="AJ179" i="24" s="1"/>
  <c r="AK179" i="24" s="1"/>
  <c r="AL179" i="24" s="1"/>
  <c r="AM179" i="24" s="1"/>
  <c r="AN179" i="24" s="1"/>
  <c r="AO179" i="24" s="1"/>
  <c r="AP179" i="24" s="1"/>
  <c r="AQ179" i="24" s="1"/>
  <c r="AR179" i="24" s="1"/>
  <c r="AS179" i="24" s="1"/>
  <c r="AT179" i="24" s="1"/>
  <c r="AU179" i="24" s="1"/>
  <c r="AV179" i="24" s="1"/>
  <c r="AW179" i="24" s="1"/>
  <c r="AX179" i="24" s="1"/>
  <c r="AY179" i="24" s="1"/>
  <c r="AZ179" i="24" s="1"/>
  <c r="BA179" i="24" s="1"/>
  <c r="W116" i="24"/>
  <c r="X116" i="24" s="1"/>
  <c r="Y116" i="24" s="1"/>
  <c r="Z116" i="24" s="1"/>
  <c r="AA116" i="24" s="1"/>
  <c r="AB116" i="24" s="1"/>
  <c r="AC116" i="24" s="1"/>
  <c r="AD116" i="24" s="1"/>
  <c r="AE116" i="24" s="1"/>
  <c r="AF116" i="24" s="1"/>
  <c r="AG116" i="24" s="1"/>
  <c r="AH116" i="24" s="1"/>
  <c r="AI116" i="24" s="1"/>
  <c r="AJ116" i="24" s="1"/>
  <c r="AK116" i="24" s="1"/>
  <c r="AL116" i="24" s="1"/>
  <c r="AM116" i="24" s="1"/>
  <c r="AN116" i="24" s="1"/>
  <c r="AO116" i="24" s="1"/>
  <c r="AP116" i="24" s="1"/>
  <c r="AQ116" i="24" s="1"/>
  <c r="AR116" i="24" s="1"/>
  <c r="AS116" i="24" s="1"/>
  <c r="AT116" i="24" s="1"/>
  <c r="AU116" i="24" s="1"/>
  <c r="AV116" i="24" s="1"/>
  <c r="AW116" i="24" s="1"/>
  <c r="AX116" i="24" s="1"/>
  <c r="AY116" i="24" s="1"/>
  <c r="AZ116" i="24" s="1"/>
  <c r="BA116" i="24" s="1"/>
  <c r="W176" i="24"/>
  <c r="X176" i="24" s="1"/>
  <c r="Y176" i="24" s="1"/>
  <c r="Z176" i="24" s="1"/>
  <c r="AA176" i="24" s="1"/>
  <c r="AB176" i="24" s="1"/>
  <c r="AC176" i="24" s="1"/>
  <c r="AD176" i="24" s="1"/>
  <c r="AE176" i="24" s="1"/>
  <c r="AF176" i="24" s="1"/>
  <c r="AG176" i="24" s="1"/>
  <c r="AH176" i="24" s="1"/>
  <c r="AI176" i="24" s="1"/>
  <c r="AJ176" i="24" s="1"/>
  <c r="AK176" i="24" s="1"/>
  <c r="AL176" i="24" s="1"/>
  <c r="AM176" i="24" s="1"/>
  <c r="AN176" i="24" s="1"/>
  <c r="AO176" i="24" s="1"/>
  <c r="AP176" i="24" s="1"/>
  <c r="AQ176" i="24" s="1"/>
  <c r="AR176" i="24" s="1"/>
  <c r="AS176" i="24" s="1"/>
  <c r="AT176" i="24" s="1"/>
  <c r="AU176" i="24" s="1"/>
  <c r="AV176" i="24" s="1"/>
  <c r="AW176" i="24" s="1"/>
  <c r="AX176" i="24" s="1"/>
  <c r="AY176" i="24" s="1"/>
  <c r="AZ176" i="24" s="1"/>
  <c r="BA176" i="24" s="1"/>
  <c r="W142" i="24"/>
  <c r="X142" i="24" s="1"/>
  <c r="Y142" i="24" s="1"/>
  <c r="Z142" i="24" s="1"/>
  <c r="AA142" i="24" s="1"/>
  <c r="AB142" i="24" s="1"/>
  <c r="AC142" i="24" s="1"/>
  <c r="AD142" i="24" s="1"/>
  <c r="AE142" i="24" s="1"/>
  <c r="AF142" i="24" s="1"/>
  <c r="AG142" i="24" s="1"/>
  <c r="AH142" i="24" s="1"/>
  <c r="AI142" i="24" s="1"/>
  <c r="AJ142" i="24" s="1"/>
  <c r="AK142" i="24" s="1"/>
  <c r="AL142" i="24" s="1"/>
  <c r="AM142" i="24" s="1"/>
  <c r="AN142" i="24" s="1"/>
  <c r="AO142" i="24" s="1"/>
  <c r="AP142" i="24" s="1"/>
  <c r="AQ142" i="24" s="1"/>
  <c r="AR142" i="24" s="1"/>
  <c r="AS142" i="24" s="1"/>
  <c r="AT142" i="24" s="1"/>
  <c r="AU142" i="24" s="1"/>
  <c r="AV142" i="24" s="1"/>
  <c r="AW142" i="24" s="1"/>
  <c r="AX142" i="24" s="1"/>
  <c r="AY142" i="24" s="1"/>
  <c r="AZ142" i="24" s="1"/>
  <c r="BA142" i="24" s="1"/>
  <c r="W186" i="24"/>
  <c r="X186" i="24" s="1"/>
  <c r="Y186" i="24" s="1"/>
  <c r="Z186" i="24" s="1"/>
  <c r="AA186" i="24" s="1"/>
  <c r="AB186" i="24" s="1"/>
  <c r="AC186" i="24" s="1"/>
  <c r="AD186" i="24" s="1"/>
  <c r="AE186" i="24" s="1"/>
  <c r="AF186" i="24" s="1"/>
  <c r="AG186" i="24" s="1"/>
  <c r="AH186" i="24" s="1"/>
  <c r="AI186" i="24" s="1"/>
  <c r="AJ186" i="24" s="1"/>
  <c r="AK186" i="24" s="1"/>
  <c r="AL186" i="24" s="1"/>
  <c r="AM186" i="24" s="1"/>
  <c r="AN186" i="24" s="1"/>
  <c r="AO186" i="24" s="1"/>
  <c r="AP186" i="24" s="1"/>
  <c r="AQ186" i="24" s="1"/>
  <c r="AR186" i="24" s="1"/>
  <c r="AS186" i="24" s="1"/>
  <c r="AT186" i="24" s="1"/>
  <c r="AU186" i="24" s="1"/>
  <c r="AV186" i="24" s="1"/>
  <c r="AW186" i="24" s="1"/>
  <c r="AX186" i="24" s="1"/>
  <c r="AY186" i="24" s="1"/>
  <c r="AZ186" i="24" s="1"/>
  <c r="BA186" i="24" s="1"/>
  <c r="W167" i="24"/>
  <c r="X167" i="24" s="1"/>
  <c r="Y167" i="24" s="1"/>
  <c r="Z167" i="24" s="1"/>
  <c r="AA167" i="24" s="1"/>
  <c r="AB167" i="24" s="1"/>
  <c r="AC167" i="24" s="1"/>
  <c r="AD167" i="24" s="1"/>
  <c r="AE167" i="24" s="1"/>
  <c r="AF167" i="24" s="1"/>
  <c r="AG167" i="24" s="1"/>
  <c r="AH167" i="24" s="1"/>
  <c r="AI167" i="24" s="1"/>
  <c r="AJ167" i="24" s="1"/>
  <c r="AK167" i="24" s="1"/>
  <c r="AL167" i="24" s="1"/>
  <c r="AM167" i="24" s="1"/>
  <c r="AN167" i="24" s="1"/>
  <c r="AO167" i="24" s="1"/>
  <c r="AP167" i="24" s="1"/>
  <c r="AQ167" i="24" s="1"/>
  <c r="AR167" i="24" s="1"/>
  <c r="AS167" i="24" s="1"/>
  <c r="AT167" i="24" s="1"/>
  <c r="AU167" i="24" s="1"/>
  <c r="AV167" i="24" s="1"/>
  <c r="AW167" i="24" s="1"/>
  <c r="AX167" i="24" s="1"/>
  <c r="AY167" i="24" s="1"/>
  <c r="AZ167" i="24" s="1"/>
  <c r="BA167" i="24" s="1"/>
  <c r="W161" i="24"/>
  <c r="X161" i="24" s="1"/>
  <c r="Y161" i="24" s="1"/>
  <c r="Z161" i="24" s="1"/>
  <c r="AA161" i="24" s="1"/>
  <c r="AB161" i="24" s="1"/>
  <c r="AC161" i="24" s="1"/>
  <c r="AD161" i="24" s="1"/>
  <c r="AE161" i="24" s="1"/>
  <c r="AF161" i="24" s="1"/>
  <c r="AG161" i="24" s="1"/>
  <c r="AH161" i="24" s="1"/>
  <c r="AI161" i="24" s="1"/>
  <c r="AJ161" i="24" s="1"/>
  <c r="AK161" i="24" s="1"/>
  <c r="AL161" i="24" s="1"/>
  <c r="AM161" i="24" s="1"/>
  <c r="AN161" i="24" s="1"/>
  <c r="AO161" i="24" s="1"/>
  <c r="AP161" i="24" s="1"/>
  <c r="AQ161" i="24" s="1"/>
  <c r="AR161" i="24" s="1"/>
  <c r="AS161" i="24" s="1"/>
  <c r="AT161" i="24" s="1"/>
  <c r="AU161" i="24" s="1"/>
  <c r="AV161" i="24" s="1"/>
  <c r="AW161" i="24" s="1"/>
  <c r="AX161" i="24" s="1"/>
  <c r="AY161" i="24" s="1"/>
  <c r="AZ161" i="24" s="1"/>
  <c r="BA161" i="24" s="1"/>
  <c r="W125" i="24"/>
  <c r="X125" i="24" s="1"/>
  <c r="Y125" i="24" s="1"/>
  <c r="Z125" i="24" s="1"/>
  <c r="AA125" i="24" s="1"/>
  <c r="AB125" i="24" s="1"/>
  <c r="AC125" i="24" s="1"/>
  <c r="AD125" i="24" s="1"/>
  <c r="AE125" i="24" s="1"/>
  <c r="AF125" i="24" s="1"/>
  <c r="AG125" i="24" s="1"/>
  <c r="AH125" i="24" s="1"/>
  <c r="AI125" i="24" s="1"/>
  <c r="AJ125" i="24" s="1"/>
  <c r="AK125" i="24" s="1"/>
  <c r="AL125" i="24" s="1"/>
  <c r="AM125" i="24" s="1"/>
  <c r="AN125" i="24" s="1"/>
  <c r="AO125" i="24" s="1"/>
  <c r="AP125" i="24" s="1"/>
  <c r="AQ125" i="24" s="1"/>
  <c r="AR125" i="24" s="1"/>
  <c r="AS125" i="24" s="1"/>
  <c r="AT125" i="24" s="1"/>
  <c r="AU125" i="24" s="1"/>
  <c r="AV125" i="24" s="1"/>
  <c r="AW125" i="24" s="1"/>
  <c r="AX125" i="24" s="1"/>
  <c r="AY125" i="24" s="1"/>
  <c r="AZ125" i="24" s="1"/>
  <c r="BA125" i="24" s="1"/>
  <c r="W173" i="24"/>
  <c r="X173" i="24" s="1"/>
  <c r="Y173" i="24" s="1"/>
  <c r="Z173" i="24" s="1"/>
  <c r="AA173" i="24" s="1"/>
  <c r="AB173" i="24" s="1"/>
  <c r="AC173" i="24" s="1"/>
  <c r="AD173" i="24" s="1"/>
  <c r="AE173" i="24" s="1"/>
  <c r="AF173" i="24" s="1"/>
  <c r="AG173" i="24" s="1"/>
  <c r="AH173" i="24" s="1"/>
  <c r="AI173" i="24" s="1"/>
  <c r="AJ173" i="24" s="1"/>
  <c r="AK173" i="24" s="1"/>
  <c r="AL173" i="24" s="1"/>
  <c r="AM173" i="24" s="1"/>
  <c r="AN173" i="24" s="1"/>
  <c r="AO173" i="24" s="1"/>
  <c r="AP173" i="24" s="1"/>
  <c r="AQ173" i="24" s="1"/>
  <c r="AR173" i="24" s="1"/>
  <c r="AS173" i="24" s="1"/>
  <c r="AT173" i="24" s="1"/>
  <c r="AU173" i="24" s="1"/>
  <c r="AV173" i="24" s="1"/>
  <c r="AW173" i="24" s="1"/>
  <c r="AX173" i="24" s="1"/>
  <c r="AY173" i="24" s="1"/>
  <c r="AZ173" i="24" s="1"/>
  <c r="BA173" i="24" s="1"/>
  <c r="BE15" i="17"/>
  <c r="BD251" i="17" s="1"/>
  <c r="AZ23" i="30"/>
  <c r="BA55" i="16"/>
  <c r="AZ21" i="30"/>
  <c r="Y9" i="17"/>
  <c r="Z51" i="14"/>
  <c r="Z9" i="19" s="1"/>
  <c r="BA228" i="24"/>
  <c r="AZ60" i="31"/>
  <c r="AZ56" i="31"/>
  <c r="AZ58" i="31"/>
  <c r="AZ67" i="31"/>
  <c r="AZ59" i="31"/>
  <c r="AZ69" i="31"/>
  <c r="AZ55" i="31"/>
  <c r="AZ57" i="31"/>
  <c r="BA104" i="23"/>
  <c r="BA46" i="31"/>
  <c r="BA13" i="30"/>
  <c r="BA22" i="30" s="1"/>
  <c r="BA227" i="24"/>
  <c r="BA224" i="24"/>
  <c r="AZ68" i="31"/>
  <c r="BA225" i="24"/>
  <c r="BA110" i="23"/>
  <c r="BA226" i="24"/>
  <c r="BF8" i="17"/>
  <c r="BG50" i="14"/>
  <c r="X12" i="17"/>
  <c r="BF57" i="14"/>
  <c r="BE59" i="14"/>
  <c r="U175" i="24"/>
  <c r="T177" i="24"/>
  <c r="T171" i="24"/>
  <c r="U169" i="24"/>
  <c r="U166" i="24"/>
  <c r="T168" i="24"/>
  <c r="U182" i="24"/>
  <c r="T184" i="24"/>
  <c r="T146" i="24"/>
  <c r="U144" i="24"/>
  <c r="BA44" i="22"/>
  <c r="U127" i="24"/>
  <c r="T129" i="24"/>
  <c r="BA45" i="22"/>
  <c r="U115" i="24"/>
  <c r="T117" i="24"/>
  <c r="BA41" i="22"/>
  <c r="BC23" i="8"/>
  <c r="BC26" i="8" s="1"/>
  <c r="BD22" i="8"/>
  <c r="BA108" i="23"/>
  <c r="U124" i="24"/>
  <c r="T126" i="24"/>
  <c r="U185" i="24"/>
  <c r="T187" i="24"/>
  <c r="BA43" i="22"/>
  <c r="BA58" i="16"/>
  <c r="BA59" i="16"/>
  <c r="BA53" i="16"/>
  <c r="BA107" i="23"/>
  <c r="BA56" i="16"/>
  <c r="U147" i="24"/>
  <c r="T149" i="24"/>
  <c r="BA42" i="22"/>
  <c r="BA61" i="16"/>
  <c r="T174" i="24"/>
  <c r="U172" i="24"/>
  <c r="U118" i="24"/>
  <c r="T120" i="24"/>
  <c r="BA109" i="23"/>
  <c r="U134" i="24"/>
  <c r="T136" i="24"/>
  <c r="U157" i="24"/>
  <c r="T159" i="24"/>
  <c r="BA54" i="16"/>
  <c r="U121" i="24"/>
  <c r="T123" i="24"/>
  <c r="U150" i="24"/>
  <c r="T152" i="24"/>
  <c r="BB56" i="8"/>
  <c r="BB61" i="8"/>
  <c r="BA57" i="16"/>
  <c r="T162" i="24"/>
  <c r="U160" i="24"/>
  <c r="T143" i="24"/>
  <c r="U141" i="24"/>
  <c r="T133" i="24"/>
  <c r="U131" i="24"/>
  <c r="W102" i="23"/>
  <c r="W123" i="23" s="1"/>
  <c r="W135" i="23" s="1"/>
  <c r="T155" i="24"/>
  <c r="U153" i="24"/>
  <c r="U178" i="24"/>
  <c r="T180" i="24"/>
  <c r="AJ12" i="17"/>
  <c r="AK10" i="17"/>
  <c r="AK9" i="17"/>
  <c r="AK59" i="14"/>
  <c r="AB10" i="17"/>
  <c r="AK8" i="17"/>
  <c r="AK11" i="17"/>
  <c r="AA11" i="17"/>
  <c r="BF16" i="17"/>
  <c r="BI10" i="17"/>
  <c r="BI9" i="17"/>
  <c r="BF54" i="14"/>
  <c r="BF11" i="17"/>
  <c r="AM58" i="14"/>
  <c r="AM16" i="19" s="1"/>
  <c r="AL16" i="17"/>
  <c r="AA57" i="14"/>
  <c r="Z15" i="17"/>
  <c r="Y251" i="17" s="1"/>
  <c r="Z59" i="14"/>
  <c r="AL57" i="14"/>
  <c r="AL15" i="19" s="1"/>
  <c r="AK15" i="17"/>
  <c r="AJ251" i="17" s="1"/>
  <c r="AB58" i="14"/>
  <c r="AB16" i="19" s="1"/>
  <c r="AA16" i="17"/>
  <c r="AK54" i="14"/>
  <c r="AL52" i="14"/>
  <c r="AL10" i="19" s="1"/>
  <c r="AC52" i="14"/>
  <c r="AC10" i="19" s="1"/>
  <c r="AL51" i="14"/>
  <c r="AL9" i="19" s="1"/>
  <c r="AL50" i="14"/>
  <c r="BG53" i="14"/>
  <c r="BG11" i="19" s="1"/>
  <c r="AL53" i="14"/>
  <c r="AL11" i="19" s="1"/>
  <c r="AB53" i="14"/>
  <c r="AB11" i="19" s="1"/>
  <c r="AB215" i="14"/>
  <c r="BG58" i="14"/>
  <c r="BG16" i="19" s="1"/>
  <c r="BC8" i="13"/>
  <c r="AQ8" i="13"/>
  <c r="AU8" i="13"/>
  <c r="T8" i="13"/>
  <c r="U8" i="13"/>
  <c r="AM8" i="13"/>
  <c r="BB236" i="24" l="1"/>
  <c r="BB235" i="24"/>
  <c r="BB234" i="24"/>
  <c r="BB237" i="24"/>
  <c r="W136" i="19"/>
  <c r="W137" i="19"/>
  <c r="W135" i="19"/>
  <c r="Y63" i="8"/>
  <c r="X96" i="19"/>
  <c r="X58" i="26"/>
  <c r="X88" i="26" s="1"/>
  <c r="Q54" i="28"/>
  <c r="AW91" i="17"/>
  <c r="T149" i="19"/>
  <c r="U149" i="19"/>
  <c r="BB60" i="16"/>
  <c r="Z318" i="14"/>
  <c r="Z317" i="14"/>
  <c r="Z319" i="14"/>
  <c r="Z322" i="14"/>
  <c r="Z328" i="14"/>
  <c r="Z320" i="14"/>
  <c r="Z324" i="14"/>
  <c r="Z326" i="14"/>
  <c r="Z325" i="14"/>
  <c r="Z316" i="14"/>
  <c r="Z315" i="14"/>
  <c r="Z321" i="14"/>
  <c r="Z327" i="14"/>
  <c r="Z323" i="14"/>
  <c r="BB167" i="24"/>
  <c r="BB183" i="24"/>
  <c r="BB179" i="24"/>
  <c r="BB132" i="24"/>
  <c r="BB145" i="24"/>
  <c r="L54" i="28"/>
  <c r="O54" i="28"/>
  <c r="F54" i="28"/>
  <c r="V150" i="19"/>
  <c r="I54" i="28"/>
  <c r="V149" i="19"/>
  <c r="G54" i="28"/>
  <c r="N54" i="28"/>
  <c r="D54" i="28"/>
  <c r="B54" i="28"/>
  <c r="E54" i="28"/>
  <c r="C54" i="28"/>
  <c r="M54" i="28"/>
  <c r="P54" i="28"/>
  <c r="J54" i="28"/>
  <c r="H54" i="28"/>
  <c r="K54" i="28"/>
  <c r="AA15" i="19"/>
  <c r="X103" i="23"/>
  <c r="W136" i="23"/>
  <c r="AJ250" i="17"/>
  <c r="BF15" i="19"/>
  <c r="BG8" i="19"/>
  <c r="BG12" i="19" s="1"/>
  <c r="BF12" i="17"/>
  <c r="BE250" i="17"/>
  <c r="AL8" i="19"/>
  <c r="AL12" i="19" s="1"/>
  <c r="AA50" i="14"/>
  <c r="Z8" i="17"/>
  <c r="Y250" i="17" s="1"/>
  <c r="W149" i="19"/>
  <c r="Z8" i="19"/>
  <c r="AB228" i="14"/>
  <c r="BJ9" i="19"/>
  <c r="BJ9" i="17"/>
  <c r="BJ10" i="19"/>
  <c r="BJ10" i="17"/>
  <c r="Z54" i="14"/>
  <c r="Z9" i="17"/>
  <c r="Y12" i="17"/>
  <c r="AA51" i="14"/>
  <c r="AA9" i="19" s="1"/>
  <c r="BF15" i="17"/>
  <c r="BE251" i="17" s="1"/>
  <c r="BA23" i="30"/>
  <c r="BA21" i="30"/>
  <c r="BB224" i="24"/>
  <c r="BH50" i="14"/>
  <c r="BF59" i="14"/>
  <c r="BG8" i="17"/>
  <c r="BA69" i="31"/>
  <c r="BA56" i="31"/>
  <c r="BA59" i="31"/>
  <c r="BA60" i="31"/>
  <c r="BA68" i="31"/>
  <c r="BB225" i="24"/>
  <c r="BB227" i="24"/>
  <c r="BB46" i="31"/>
  <c r="BB13" i="30"/>
  <c r="BB22" i="30" s="1"/>
  <c r="BB226" i="24"/>
  <c r="BA57" i="31"/>
  <c r="BA67" i="31"/>
  <c r="BB228" i="24"/>
  <c r="BB128" i="24"/>
  <c r="BB57" i="16"/>
  <c r="BB151" i="24"/>
  <c r="BB142" i="24"/>
  <c r="BA55" i="31"/>
  <c r="BA58" i="31"/>
  <c r="BG57" i="14"/>
  <c r="V131" i="24"/>
  <c r="U133" i="24"/>
  <c r="U152" i="24"/>
  <c r="V150" i="24"/>
  <c r="BB135" i="24"/>
  <c r="BB161" i="24"/>
  <c r="V147" i="24"/>
  <c r="U149" i="24"/>
  <c r="BB59" i="16"/>
  <c r="BB148" i="24"/>
  <c r="BB41" i="22"/>
  <c r="BB122" i="24"/>
  <c r="U129" i="24"/>
  <c r="V127" i="24"/>
  <c r="BB173" i="24"/>
  <c r="V178" i="24"/>
  <c r="U180" i="24"/>
  <c r="V121" i="24"/>
  <c r="U123" i="24"/>
  <c r="U120" i="24"/>
  <c r="V118" i="24"/>
  <c r="BB61" i="16"/>
  <c r="BB56" i="16"/>
  <c r="BB58" i="16"/>
  <c r="V185" i="24"/>
  <c r="U187" i="24"/>
  <c r="BB108" i="23"/>
  <c r="BB45" i="22"/>
  <c r="BB44" i="22"/>
  <c r="BB104" i="23"/>
  <c r="V166" i="24"/>
  <c r="U168" i="24"/>
  <c r="V153" i="24"/>
  <c r="U155" i="24"/>
  <c r="X102" i="23"/>
  <c r="X123" i="23" s="1"/>
  <c r="X135" i="23" s="1"/>
  <c r="BB119" i="24"/>
  <c r="BB55" i="16"/>
  <c r="U159" i="24"/>
  <c r="V157" i="24"/>
  <c r="V134" i="24"/>
  <c r="U136" i="24"/>
  <c r="BB42" i="22"/>
  <c r="BB107" i="23"/>
  <c r="BB43" i="22"/>
  <c r="BB125" i="24"/>
  <c r="U126" i="24"/>
  <c r="V124" i="24"/>
  <c r="BD23" i="8"/>
  <c r="BD26" i="8" s="1"/>
  <c r="BE22" i="8"/>
  <c r="V115" i="24"/>
  <c r="U117" i="24"/>
  <c r="BB116" i="24"/>
  <c r="BB186" i="24"/>
  <c r="U171" i="24"/>
  <c r="V169" i="24"/>
  <c r="V175" i="24"/>
  <c r="U177" i="24"/>
  <c r="U143" i="24"/>
  <c r="V141" i="24"/>
  <c r="U162" i="24"/>
  <c r="V160" i="24"/>
  <c r="BB110" i="23"/>
  <c r="BB54" i="16"/>
  <c r="BB158" i="24"/>
  <c r="BB109" i="23"/>
  <c r="V172" i="24"/>
  <c r="U174" i="24"/>
  <c r="BB53" i="16"/>
  <c r="BB176" i="24"/>
  <c r="BB170" i="24"/>
  <c r="BC61" i="8"/>
  <c r="BC233" i="24" s="1"/>
  <c r="BC56" i="8"/>
  <c r="BB154" i="24"/>
  <c r="U146" i="24"/>
  <c r="V144" i="24"/>
  <c r="U184" i="24"/>
  <c r="V182" i="24"/>
  <c r="AK12" i="17"/>
  <c r="AL9" i="17"/>
  <c r="AA59" i="14"/>
  <c r="AL11" i="17"/>
  <c r="AL59" i="14"/>
  <c r="BG11" i="17"/>
  <c r="AC10" i="17"/>
  <c r="BG16" i="17"/>
  <c r="AB11" i="17"/>
  <c r="AL8" i="17"/>
  <c r="AL10" i="17"/>
  <c r="AC58" i="14"/>
  <c r="AC16" i="19" s="1"/>
  <c r="AB16" i="17"/>
  <c r="AN58" i="14"/>
  <c r="AN16" i="19" s="1"/>
  <c r="AM16" i="17"/>
  <c r="AL54" i="14"/>
  <c r="AM57" i="14"/>
  <c r="AM15" i="19" s="1"/>
  <c r="AL15" i="17"/>
  <c r="AK251" i="17" s="1"/>
  <c r="AB57" i="14"/>
  <c r="AA15" i="17"/>
  <c r="Z251" i="17" s="1"/>
  <c r="BH53" i="14"/>
  <c r="BH11" i="19" s="1"/>
  <c r="AD52" i="14"/>
  <c r="AD10" i="19" s="1"/>
  <c r="BG54" i="14"/>
  <c r="AC53" i="14"/>
  <c r="AC11" i="19" s="1"/>
  <c r="AM53" i="14"/>
  <c r="AM11" i="19" s="1"/>
  <c r="AM50" i="14"/>
  <c r="AM51" i="14"/>
  <c r="AM9" i="19" s="1"/>
  <c r="AM52" i="14"/>
  <c r="AM10" i="19" s="1"/>
  <c r="AC215" i="14"/>
  <c r="BH58" i="14"/>
  <c r="BH16" i="19" s="1"/>
  <c r="BD8" i="13"/>
  <c r="AV8" i="13"/>
  <c r="Y8" i="13"/>
  <c r="Z8" i="13"/>
  <c r="AR8" i="13"/>
  <c r="AE8" i="13"/>
  <c r="AD8" i="13"/>
  <c r="AJ8" i="13"/>
  <c r="AI8" i="13"/>
  <c r="BC234" i="24" l="1"/>
  <c r="BC235" i="24"/>
  <c r="BD235" i="24" s="1"/>
  <c r="BC236" i="24"/>
  <c r="BD236" i="24" s="1"/>
  <c r="BC237" i="24"/>
  <c r="Z63" i="8"/>
  <c r="Y96" i="19"/>
  <c r="Y58" i="26"/>
  <c r="Y88" i="26" s="1"/>
  <c r="X136" i="19"/>
  <c r="X137" i="19"/>
  <c r="X135" i="19"/>
  <c r="BC60" i="16"/>
  <c r="AX91" i="17"/>
  <c r="AA321" i="14"/>
  <c r="AA319" i="14"/>
  <c r="AA317" i="14"/>
  <c r="AA326" i="14"/>
  <c r="AA327" i="14"/>
  <c r="AA324" i="14"/>
  <c r="AA323" i="14"/>
  <c r="AA316" i="14"/>
  <c r="AA328" i="14"/>
  <c r="AA320" i="14"/>
  <c r="AA322" i="14"/>
  <c r="AA325" i="14"/>
  <c r="AA318" i="14"/>
  <c r="AA315" i="14"/>
  <c r="AA8" i="17"/>
  <c r="Z250" i="17" s="1"/>
  <c r="W150" i="19"/>
  <c r="AB15" i="19"/>
  <c r="Y103" i="23"/>
  <c r="X136" i="23"/>
  <c r="AA9" i="17"/>
  <c r="Z12" i="17"/>
  <c r="AM8" i="19"/>
  <c r="AM12" i="19" s="1"/>
  <c r="BH8" i="19"/>
  <c r="BH12" i="19" s="1"/>
  <c r="AA8" i="19"/>
  <c r="AA12" i="19" s="1"/>
  <c r="AK250" i="17"/>
  <c r="BG15" i="19"/>
  <c r="BG12" i="17"/>
  <c r="BF250" i="17"/>
  <c r="AA54" i="14"/>
  <c r="AB50" i="14"/>
  <c r="Z12" i="19"/>
  <c r="AC228" i="14"/>
  <c r="BI50" i="14"/>
  <c r="BI8" i="17" s="1"/>
  <c r="AB59" i="14"/>
  <c r="AB51" i="14"/>
  <c r="AB9" i="19" s="1"/>
  <c r="BG15" i="17"/>
  <c r="BF251" i="17" s="1"/>
  <c r="BH57" i="14"/>
  <c r="BG59" i="14"/>
  <c r="BH8" i="17"/>
  <c r="BB21" i="30"/>
  <c r="BB23" i="30"/>
  <c r="BB60" i="31"/>
  <c r="BB57" i="31"/>
  <c r="BC46" i="31"/>
  <c r="BC13" i="30"/>
  <c r="BC22" i="30" s="1"/>
  <c r="BB58" i="31"/>
  <c r="BB69" i="31"/>
  <c r="BB68" i="31"/>
  <c r="BB56" i="31"/>
  <c r="BC227" i="24"/>
  <c r="BB55" i="31"/>
  <c r="BC228" i="24"/>
  <c r="BC226" i="24"/>
  <c r="BC224" i="24"/>
  <c r="BC225" i="24"/>
  <c r="BB59" i="31"/>
  <c r="BB67" i="31"/>
  <c r="V184" i="24"/>
  <c r="W182" i="24"/>
  <c r="BC154" i="24"/>
  <c r="BC176" i="24"/>
  <c r="V174" i="24"/>
  <c r="W172" i="24"/>
  <c r="BC110" i="23"/>
  <c r="W115" i="24"/>
  <c r="V117" i="24"/>
  <c r="BC42" i="22"/>
  <c r="W157" i="24"/>
  <c r="V159" i="24"/>
  <c r="BC183" i="24"/>
  <c r="Y102" i="23"/>
  <c r="Y123" i="23" s="1"/>
  <c r="Y135" i="23" s="1"/>
  <c r="BC45" i="22"/>
  <c r="BC58" i="16"/>
  <c r="BC151" i="24"/>
  <c r="BC148" i="24"/>
  <c r="BC161" i="24"/>
  <c r="BC109" i="23"/>
  <c r="W160" i="24"/>
  <c r="V162" i="24"/>
  <c r="BC186" i="24"/>
  <c r="BE23" i="8"/>
  <c r="BE26" i="8" s="1"/>
  <c r="BF22" i="8"/>
  <c r="BC125" i="24"/>
  <c r="BC179" i="24"/>
  <c r="V168" i="24"/>
  <c r="W166" i="24"/>
  <c r="BC108" i="23"/>
  <c r="BC56" i="16"/>
  <c r="BC57" i="16"/>
  <c r="W178" i="24"/>
  <c r="V180" i="24"/>
  <c r="BC122" i="24"/>
  <c r="BC59" i="16"/>
  <c r="BC135" i="24"/>
  <c r="V133" i="24"/>
  <c r="W131" i="24"/>
  <c r="W144" i="24"/>
  <c r="V146" i="24"/>
  <c r="BC53" i="16"/>
  <c r="BC158" i="24"/>
  <c r="V177" i="24"/>
  <c r="W175" i="24"/>
  <c r="BC116" i="24"/>
  <c r="BD56" i="8"/>
  <c r="BD61" i="8"/>
  <c r="BC43" i="22"/>
  <c r="BC55" i="16"/>
  <c r="BC132" i="24"/>
  <c r="BC104" i="23"/>
  <c r="BC61" i="16"/>
  <c r="V123" i="24"/>
  <c r="W121" i="24"/>
  <c r="BC128" i="24"/>
  <c r="BC173" i="24"/>
  <c r="BC41" i="22"/>
  <c r="V152" i="24"/>
  <c r="W150" i="24"/>
  <c r="BC167" i="24"/>
  <c r="BC170" i="24"/>
  <c r="BC54" i="16"/>
  <c r="W141" i="24"/>
  <c r="V143" i="24"/>
  <c r="V171" i="24"/>
  <c r="W169" i="24"/>
  <c r="V126" i="24"/>
  <c r="W124" i="24"/>
  <c r="BC107" i="23"/>
  <c r="W134" i="24"/>
  <c r="V136" i="24"/>
  <c r="BC119" i="24"/>
  <c r="W153" i="24"/>
  <c r="V155" i="24"/>
  <c r="BC44" i="22"/>
  <c r="W185" i="24"/>
  <c r="V187" i="24"/>
  <c r="W118" i="24"/>
  <c r="V120" i="24"/>
  <c r="BC142" i="24"/>
  <c r="BC145" i="24"/>
  <c r="W127" i="24"/>
  <c r="V129" i="24"/>
  <c r="V149" i="24"/>
  <c r="W147" i="24"/>
  <c r="AL12" i="17"/>
  <c r="AM8" i="17"/>
  <c r="AM9" i="17"/>
  <c r="BH16" i="17"/>
  <c r="AM11" i="17"/>
  <c r="AM59" i="14"/>
  <c r="AD10" i="17"/>
  <c r="AM10" i="17"/>
  <c r="AC11" i="17"/>
  <c r="AN57" i="14"/>
  <c r="AN15" i="19" s="1"/>
  <c r="AM15" i="17"/>
  <c r="AL251" i="17" s="1"/>
  <c r="AC57" i="14"/>
  <c r="AB15" i="17"/>
  <c r="AA251" i="17" s="1"/>
  <c r="AD58" i="14"/>
  <c r="AD16" i="19" s="1"/>
  <c r="AC16" i="17"/>
  <c r="AO58" i="14"/>
  <c r="AO16" i="19" s="1"/>
  <c r="AN16" i="17"/>
  <c r="BH54" i="14"/>
  <c r="BH11" i="17"/>
  <c r="AN53" i="14"/>
  <c r="AN11" i="19" s="1"/>
  <c r="BI53" i="14"/>
  <c r="AN51" i="14"/>
  <c r="AN9" i="19" s="1"/>
  <c r="AN52" i="14"/>
  <c r="AN10" i="19" s="1"/>
  <c r="AN50" i="14"/>
  <c r="AD53" i="14"/>
  <c r="AD11" i="19" s="1"/>
  <c r="AM54" i="14"/>
  <c r="AD215" i="14"/>
  <c r="BI58" i="14"/>
  <c r="BE8" i="13"/>
  <c r="AO8" i="13"/>
  <c r="AN8" i="13"/>
  <c r="AW8" i="13"/>
  <c r="BD60" i="16" l="1"/>
  <c r="BD234" i="24"/>
  <c r="BE234" i="24" s="1"/>
  <c r="X149" i="19"/>
  <c r="BD237" i="24"/>
  <c r="BD233" i="24"/>
  <c r="Y137" i="19"/>
  <c r="Y136" i="19"/>
  <c r="Y135" i="19"/>
  <c r="Y149" i="19" s="1"/>
  <c r="AA63" i="8"/>
  <c r="Z58" i="26"/>
  <c r="Z88" i="26" s="1"/>
  <c r="Z96" i="19"/>
  <c r="AY91" i="17"/>
  <c r="AA12" i="17"/>
  <c r="AB320" i="14"/>
  <c r="AB326" i="14"/>
  <c r="AB325" i="14"/>
  <c r="AB327" i="14"/>
  <c r="AB318" i="14"/>
  <c r="AB315" i="14"/>
  <c r="AB324" i="14"/>
  <c r="AB321" i="14"/>
  <c r="AB328" i="14"/>
  <c r="AB323" i="14"/>
  <c r="AB317" i="14"/>
  <c r="AB322" i="14"/>
  <c r="AB319" i="14"/>
  <c r="AB316" i="14"/>
  <c r="AB54" i="14"/>
  <c r="AD326" i="14"/>
  <c r="AD322" i="14"/>
  <c r="AD318" i="14"/>
  <c r="AD325" i="14"/>
  <c r="AD321" i="14"/>
  <c r="AD317" i="14"/>
  <c r="AD328" i="14"/>
  <c r="AD324" i="14"/>
  <c r="AD323" i="14"/>
  <c r="AD320" i="14"/>
  <c r="AD316" i="14"/>
  <c r="AD327" i="14"/>
  <c r="AD319" i="14"/>
  <c r="AD315" i="14"/>
  <c r="AC50" i="14"/>
  <c r="AC54" i="14" s="1"/>
  <c r="AB8" i="17"/>
  <c r="AA250" i="17" s="1"/>
  <c r="BC59" i="31"/>
  <c r="BC68" i="31"/>
  <c r="BC67" i="31"/>
  <c r="BC56" i="31"/>
  <c r="BD128" i="24"/>
  <c r="BD104" i="23"/>
  <c r="X150" i="19"/>
  <c r="AC15" i="19"/>
  <c r="Z103" i="23"/>
  <c r="Y136" i="23"/>
  <c r="AN8" i="19"/>
  <c r="AN12" i="19" s="1"/>
  <c r="BI12" i="17"/>
  <c r="AL250" i="17"/>
  <c r="BH15" i="19"/>
  <c r="BH12" i="17"/>
  <c r="BG250" i="17"/>
  <c r="AB9" i="17"/>
  <c r="AB8" i="19"/>
  <c r="AB12" i="19" s="1"/>
  <c r="BI8" i="19"/>
  <c r="BJ50" i="14"/>
  <c r="BI16" i="19"/>
  <c r="BJ58" i="14"/>
  <c r="AD228" i="14"/>
  <c r="BI11" i="19"/>
  <c r="BJ53" i="14"/>
  <c r="AC51" i="14"/>
  <c r="AC9" i="19" s="1"/>
  <c r="BI57" i="14"/>
  <c r="BI59" i="14" s="1"/>
  <c r="BH59" i="14"/>
  <c r="BH15" i="17"/>
  <c r="BG251" i="17" s="1"/>
  <c r="BD145" i="24"/>
  <c r="BD54" i="16"/>
  <c r="BD132" i="24"/>
  <c r="BD142" i="24"/>
  <c r="BD228" i="24"/>
  <c r="BC60" i="31"/>
  <c r="BC21" i="30"/>
  <c r="BC55" i="31"/>
  <c r="BD46" i="31"/>
  <c r="BD13" i="30"/>
  <c r="BD22" i="30" s="1"/>
  <c r="BD107" i="23"/>
  <c r="BD170" i="24"/>
  <c r="BD41" i="22"/>
  <c r="BD55" i="16"/>
  <c r="BD225" i="24"/>
  <c r="BD44" i="22"/>
  <c r="BD119" i="24"/>
  <c r="BC23" i="30"/>
  <c r="BD224" i="24"/>
  <c r="BC57" i="31"/>
  <c r="BC69" i="31"/>
  <c r="BD226" i="24"/>
  <c r="BD227" i="24"/>
  <c r="BC58" i="31"/>
  <c r="X147" i="24"/>
  <c r="W149" i="24"/>
  <c r="W129" i="24"/>
  <c r="X127" i="24"/>
  <c r="X118" i="24"/>
  <c r="W120" i="24"/>
  <c r="X141" i="24"/>
  <c r="W143" i="24"/>
  <c r="W152" i="24"/>
  <c r="X150" i="24"/>
  <c r="X144" i="24"/>
  <c r="W146" i="24"/>
  <c r="BD59" i="16"/>
  <c r="BD57" i="16"/>
  <c r="BF23" i="8"/>
  <c r="BF26" i="8" s="1"/>
  <c r="BG22" i="8"/>
  <c r="X160" i="24"/>
  <c r="W162" i="24"/>
  <c r="BD148" i="24"/>
  <c r="Z102" i="23"/>
  <c r="Z123" i="23" s="1"/>
  <c r="Z135" i="23" s="1"/>
  <c r="W159" i="24"/>
  <c r="X157" i="24"/>
  <c r="BD110" i="23"/>
  <c r="BD154" i="24"/>
  <c r="W155" i="24"/>
  <c r="X153" i="24"/>
  <c r="W136" i="24"/>
  <c r="X134" i="24"/>
  <c r="W171" i="24"/>
  <c r="X169" i="24"/>
  <c r="X121" i="24"/>
  <c r="W123" i="24"/>
  <c r="BD158" i="24"/>
  <c r="X131" i="24"/>
  <c r="W133" i="24"/>
  <c r="BD122" i="24"/>
  <c r="BD56" i="16"/>
  <c r="BD179" i="24"/>
  <c r="BE56" i="8"/>
  <c r="BE61" i="8"/>
  <c r="BE60" i="16" s="1"/>
  <c r="BD109" i="23"/>
  <c r="BD151" i="24"/>
  <c r="BD42" i="22"/>
  <c r="X172" i="24"/>
  <c r="W174" i="24"/>
  <c r="X182" i="24"/>
  <c r="W184" i="24"/>
  <c r="X185" i="24"/>
  <c r="W187" i="24"/>
  <c r="BD116" i="24"/>
  <c r="BD53" i="16"/>
  <c r="BD108" i="23"/>
  <c r="BD186" i="24"/>
  <c r="BE186" i="24" s="1"/>
  <c r="BD58" i="16"/>
  <c r="BD183" i="24"/>
  <c r="X124" i="24"/>
  <c r="W126" i="24"/>
  <c r="BD167" i="24"/>
  <c r="BD173" i="24"/>
  <c r="BD61" i="16"/>
  <c r="BD43" i="22"/>
  <c r="W177" i="24"/>
  <c r="X175" i="24"/>
  <c r="BD135" i="24"/>
  <c r="W180" i="24"/>
  <c r="X178" i="24"/>
  <c r="X166" i="24"/>
  <c r="W168" i="24"/>
  <c r="BD125" i="24"/>
  <c r="BE125" i="24" s="1"/>
  <c r="BD161" i="24"/>
  <c r="BD45" i="22"/>
  <c r="W117" i="24"/>
  <c r="X115" i="24"/>
  <c r="BD176" i="24"/>
  <c r="AN59" i="14"/>
  <c r="AM12" i="17"/>
  <c r="AD11" i="17"/>
  <c r="BI11" i="17"/>
  <c r="BH250" i="17" s="1"/>
  <c r="AD16" i="17"/>
  <c r="AN11" i="17"/>
  <c r="BI16" i="17"/>
  <c r="AN9" i="17"/>
  <c r="BI54" i="14"/>
  <c r="AN10" i="17"/>
  <c r="AD57" i="14"/>
  <c r="AC15" i="17"/>
  <c r="AB251" i="17" s="1"/>
  <c r="AP58" i="14"/>
  <c r="AP16" i="19" s="1"/>
  <c r="AO16" i="17"/>
  <c r="AC59" i="14"/>
  <c r="AN54" i="14"/>
  <c r="AN8" i="17"/>
  <c r="AO57" i="14"/>
  <c r="AO15" i="19" s="1"/>
  <c r="AN15" i="17"/>
  <c r="AM251" i="17" s="1"/>
  <c r="AO52" i="14"/>
  <c r="AO10" i="19" s="1"/>
  <c r="AO50" i="14"/>
  <c r="AO51" i="14"/>
  <c r="AO9" i="19" s="1"/>
  <c r="AO53" i="14"/>
  <c r="AO11" i="19" s="1"/>
  <c r="AE215" i="14"/>
  <c r="AS8" i="13"/>
  <c r="AT8" i="13"/>
  <c r="BF8" i="13"/>
  <c r="BE237" i="24" l="1"/>
  <c r="BE235" i="24"/>
  <c r="BF235" i="24" s="1"/>
  <c r="BE233" i="24"/>
  <c r="BF233" i="24" s="1"/>
  <c r="BE176" i="24"/>
  <c r="BE161" i="24"/>
  <c r="BE167" i="24"/>
  <c r="BE116" i="24"/>
  <c r="BE151" i="24"/>
  <c r="BE236" i="24"/>
  <c r="AB63" i="8"/>
  <c r="AA96" i="19"/>
  <c r="AA58" i="26"/>
  <c r="AA88" i="26" s="1"/>
  <c r="Z136" i="19"/>
  <c r="Z137" i="19"/>
  <c r="Z135" i="19"/>
  <c r="AZ91" i="17"/>
  <c r="AC319" i="14"/>
  <c r="AC325" i="14"/>
  <c r="AC324" i="14"/>
  <c r="AC326" i="14"/>
  <c r="AC315" i="14"/>
  <c r="AC320" i="14"/>
  <c r="AC318" i="14"/>
  <c r="AC316" i="14"/>
  <c r="AC327" i="14"/>
  <c r="AC322" i="14"/>
  <c r="AC321" i="14"/>
  <c r="AC317" i="14"/>
  <c r="AC323" i="14"/>
  <c r="AC328" i="14"/>
  <c r="AE325" i="14"/>
  <c r="AE321" i="14"/>
  <c r="AE328" i="14"/>
  <c r="AE324" i="14"/>
  <c r="AE320" i="14"/>
  <c r="AE323" i="14"/>
  <c r="AE327" i="14"/>
  <c r="AE319" i="14"/>
  <c r="AE322" i="14"/>
  <c r="AE316" i="14"/>
  <c r="AE317" i="14"/>
  <c r="AE315" i="14"/>
  <c r="AE326" i="14"/>
  <c r="AE318" i="14"/>
  <c r="AC8" i="19"/>
  <c r="AC12" i="19" s="1"/>
  <c r="AC8" i="17"/>
  <c r="AB250" i="17" s="1"/>
  <c r="AD50" i="14"/>
  <c r="AD8" i="19" s="1"/>
  <c r="BE44" i="22"/>
  <c r="BE179" i="24"/>
  <c r="Y150" i="19"/>
  <c r="AC9" i="17"/>
  <c r="AD51" i="14"/>
  <c r="AD9" i="19" s="1"/>
  <c r="AD15" i="19"/>
  <c r="AA103" i="23"/>
  <c r="Z136" i="23"/>
  <c r="AB12" i="17"/>
  <c r="AO8" i="19"/>
  <c r="AO12" i="19" s="1"/>
  <c r="AM250" i="17"/>
  <c r="BI12" i="19"/>
  <c r="BJ11" i="19"/>
  <c r="BJ11" i="17"/>
  <c r="BJ16" i="19"/>
  <c r="BJ16" i="17"/>
  <c r="BI15" i="19"/>
  <c r="BJ57" i="14"/>
  <c r="AE228" i="14"/>
  <c r="BI15" i="17"/>
  <c r="BH251" i="17" s="1"/>
  <c r="BJ54" i="14"/>
  <c r="BJ8" i="19"/>
  <c r="BJ8" i="17"/>
  <c r="BD60" i="31"/>
  <c r="BD59" i="31"/>
  <c r="BE225" i="24"/>
  <c r="BE107" i="23"/>
  <c r="BE45" i="22"/>
  <c r="BE173" i="24"/>
  <c r="BE183" i="24"/>
  <c r="BE119" i="24"/>
  <c r="BE55" i="16"/>
  <c r="BE43" i="22"/>
  <c r="BE53" i="16"/>
  <c r="BE142" i="24"/>
  <c r="BE109" i="23"/>
  <c r="BE56" i="16"/>
  <c r="BE226" i="24"/>
  <c r="BE224" i="24"/>
  <c r="BE170" i="24"/>
  <c r="BD55" i="31"/>
  <c r="BD57" i="31"/>
  <c r="BD67" i="31"/>
  <c r="BD23" i="30"/>
  <c r="BE228" i="24"/>
  <c r="BE135" i="24"/>
  <c r="BE61" i="16"/>
  <c r="BE58" i="16"/>
  <c r="BE108" i="23"/>
  <c r="BE41" i="22"/>
  <c r="BE42" i="22"/>
  <c r="BE46" i="31"/>
  <c r="BE13" i="30"/>
  <c r="BE22" i="30" s="1"/>
  <c r="BD58" i="31"/>
  <c r="BD69" i="31"/>
  <c r="BD68" i="31"/>
  <c r="BD56" i="31"/>
  <c r="BE227" i="24"/>
  <c r="BD21" i="30"/>
  <c r="AO59" i="14"/>
  <c r="Y178" i="24"/>
  <c r="X180" i="24"/>
  <c r="BE158" i="24"/>
  <c r="BE54" i="16"/>
  <c r="BE154" i="24"/>
  <c r="AA102" i="23"/>
  <c r="AA123" i="23" s="1"/>
  <c r="AA135" i="23" s="1"/>
  <c r="X162" i="24"/>
  <c r="Y160" i="24"/>
  <c r="BE59" i="16"/>
  <c r="BE128" i="24"/>
  <c r="Y141" i="24"/>
  <c r="X143" i="24"/>
  <c r="Y115" i="24"/>
  <c r="X117" i="24"/>
  <c r="Y172" i="24"/>
  <c r="X174" i="24"/>
  <c r="BE122" i="24"/>
  <c r="BE132" i="24"/>
  <c r="Y169" i="24"/>
  <c r="X171" i="24"/>
  <c r="Y153" i="24"/>
  <c r="X155" i="24"/>
  <c r="BE110" i="23"/>
  <c r="BG23" i="8"/>
  <c r="BG26" i="8" s="1"/>
  <c r="BH22" i="8"/>
  <c r="Y150" i="24"/>
  <c r="X152" i="24"/>
  <c r="Y124" i="24"/>
  <c r="X126" i="24"/>
  <c r="X159" i="24"/>
  <c r="Y157" i="24"/>
  <c r="BE148" i="24"/>
  <c r="BF56" i="8"/>
  <c r="BF61" i="8"/>
  <c r="BF60" i="16" s="1"/>
  <c r="Y144" i="24"/>
  <c r="X146" i="24"/>
  <c r="X120" i="24"/>
  <c r="Y118" i="24"/>
  <c r="Y147" i="24"/>
  <c r="X149" i="24"/>
  <c r="X168" i="24"/>
  <c r="Y166" i="24"/>
  <c r="X177" i="24"/>
  <c r="Y175" i="24"/>
  <c r="Y185" i="24"/>
  <c r="X187" i="24"/>
  <c r="X184" i="24"/>
  <c r="Y182" i="24"/>
  <c r="X133" i="24"/>
  <c r="Y131" i="24"/>
  <c r="X123" i="24"/>
  <c r="Y121" i="24"/>
  <c r="X136" i="24"/>
  <c r="Y134" i="24"/>
  <c r="BE145" i="24"/>
  <c r="BE57" i="16"/>
  <c r="BE104" i="23"/>
  <c r="X129" i="24"/>
  <c r="Y127" i="24"/>
  <c r="AO8" i="17"/>
  <c r="AO11" i="17"/>
  <c r="AO10" i="17"/>
  <c r="AN12" i="17"/>
  <c r="AO9" i="17"/>
  <c r="AQ58" i="14"/>
  <c r="AQ16" i="19" s="1"/>
  <c r="AP16" i="17"/>
  <c r="AP57" i="14"/>
  <c r="AP15" i="19" s="1"/>
  <c r="AO15" i="17"/>
  <c r="AN251" i="17" s="1"/>
  <c r="AD15" i="17"/>
  <c r="AC251" i="17" s="1"/>
  <c r="AD59" i="14"/>
  <c r="AP53" i="14"/>
  <c r="AP11" i="19" s="1"/>
  <c r="AP50" i="14"/>
  <c r="AP51" i="14"/>
  <c r="AP9" i="19" s="1"/>
  <c r="AP52" i="14"/>
  <c r="AP10" i="19" s="1"/>
  <c r="AO54" i="14"/>
  <c r="AF215" i="14"/>
  <c r="BG8" i="13"/>
  <c r="AY8" i="13"/>
  <c r="AX8" i="13"/>
  <c r="Z149" i="19" l="1"/>
  <c r="BF236" i="24"/>
  <c r="BG236" i="24" s="1"/>
  <c r="BF237" i="24"/>
  <c r="BG237" i="24" s="1"/>
  <c r="BF234" i="24"/>
  <c r="AA136" i="19"/>
  <c r="AA137" i="19"/>
  <c r="AA135" i="19"/>
  <c r="AC63" i="8"/>
  <c r="AB58" i="26"/>
  <c r="AB88" i="26" s="1"/>
  <c r="AB96" i="19"/>
  <c r="BA91" i="17"/>
  <c r="AD8" i="17"/>
  <c r="AC250" i="17" s="1"/>
  <c r="AF328" i="14"/>
  <c r="AF324" i="14"/>
  <c r="AF320" i="14"/>
  <c r="AF327" i="14"/>
  <c r="AF323" i="14"/>
  <c r="AF319" i="14"/>
  <c r="AF322" i="14"/>
  <c r="AF316" i="14"/>
  <c r="AF321" i="14"/>
  <c r="AF317" i="14"/>
  <c r="AF315" i="14"/>
  <c r="AF326" i="14"/>
  <c r="AF318" i="14"/>
  <c r="AF325" i="14"/>
  <c r="AD54" i="14"/>
  <c r="AD9" i="17"/>
  <c r="AC12" i="17"/>
  <c r="AD12" i="19"/>
  <c r="BF151" i="24"/>
  <c r="BF173" i="24"/>
  <c r="Z150" i="19"/>
  <c r="BF145" i="24"/>
  <c r="AB103" i="23"/>
  <c r="AA136" i="23"/>
  <c r="AN250" i="17"/>
  <c r="BJ12" i="17"/>
  <c r="BI250" i="17"/>
  <c r="AP8" i="19"/>
  <c r="AP12" i="19" s="1"/>
  <c r="BJ12" i="19"/>
  <c r="BJ15" i="19"/>
  <c r="BJ15" i="17"/>
  <c r="BI251" i="17" s="1"/>
  <c r="BJ59" i="14"/>
  <c r="AF228" i="14"/>
  <c r="BE59" i="31"/>
  <c r="BE68" i="31"/>
  <c r="BE21" i="30"/>
  <c r="BE55" i="31"/>
  <c r="BE67" i="31"/>
  <c r="BF170" i="24"/>
  <c r="BF46" i="31"/>
  <c r="BF13" i="30"/>
  <c r="BF22" i="30" s="1"/>
  <c r="BE57" i="31"/>
  <c r="BE69" i="31"/>
  <c r="BF228" i="24"/>
  <c r="BF226" i="24"/>
  <c r="BF225" i="24"/>
  <c r="BF45" i="22"/>
  <c r="BF104" i="23"/>
  <c r="BF53" i="16"/>
  <c r="BF227" i="24"/>
  <c r="BE58" i="31"/>
  <c r="BE23" i="30"/>
  <c r="BE60" i="31"/>
  <c r="BF57" i="16"/>
  <c r="BF179" i="24"/>
  <c r="BF119" i="24"/>
  <c r="BE56" i="31"/>
  <c r="BF224" i="24"/>
  <c r="Z127" i="24"/>
  <c r="Y129" i="24"/>
  <c r="Z185" i="24"/>
  <c r="Y187" i="24"/>
  <c r="Y168" i="24"/>
  <c r="Z166" i="24"/>
  <c r="Y149" i="24"/>
  <c r="Z147" i="24"/>
  <c r="Y146" i="24"/>
  <c r="Z144" i="24"/>
  <c r="Z157" i="24"/>
  <c r="Y159" i="24"/>
  <c r="BF108" i="23"/>
  <c r="BF61" i="16"/>
  <c r="BH23" i="8"/>
  <c r="BH26" i="8" s="1"/>
  <c r="BI22" i="8"/>
  <c r="BI23" i="8" s="1"/>
  <c r="BI26" i="8" s="1"/>
  <c r="Y155" i="24"/>
  <c r="Z153" i="24"/>
  <c r="BF122" i="24"/>
  <c r="BF43" i="22"/>
  <c r="Y162" i="24"/>
  <c r="Z160" i="24"/>
  <c r="BF154" i="24"/>
  <c r="BF109" i="23"/>
  <c r="BF186" i="24"/>
  <c r="Y180" i="24"/>
  <c r="Z178" i="24"/>
  <c r="Y136" i="24"/>
  <c r="Z134" i="24"/>
  <c r="Z131" i="24"/>
  <c r="Y133" i="24"/>
  <c r="Y184" i="24"/>
  <c r="Z182" i="24"/>
  <c r="Y120" i="24"/>
  <c r="Z118" i="24"/>
  <c r="BF58" i="16"/>
  <c r="BF135" i="24"/>
  <c r="BG61" i="8"/>
  <c r="BG60" i="16" s="1"/>
  <c r="BG56" i="8"/>
  <c r="BF55" i="16"/>
  <c r="BF125" i="24"/>
  <c r="Z141" i="24"/>
  <c r="Y143" i="24"/>
  <c r="BF54" i="16"/>
  <c r="BF142" i="24"/>
  <c r="BF44" i="22"/>
  <c r="BG44" i="22" s="1"/>
  <c r="BF161" i="24"/>
  <c r="Y177" i="24"/>
  <c r="Z175" i="24"/>
  <c r="BF42" i="22"/>
  <c r="BF110" i="23"/>
  <c r="Y171" i="24"/>
  <c r="Z169" i="24"/>
  <c r="Y174" i="24"/>
  <c r="Z172" i="24"/>
  <c r="BF128" i="24"/>
  <c r="BF158" i="24"/>
  <c r="BF107" i="23"/>
  <c r="BF167" i="24"/>
  <c r="BF176" i="24"/>
  <c r="Y123" i="24"/>
  <c r="Z121" i="24"/>
  <c r="BF148" i="24"/>
  <c r="BF41" i="22"/>
  <c r="Z124" i="24"/>
  <c r="Y126" i="24"/>
  <c r="Y152" i="24"/>
  <c r="Z150" i="24"/>
  <c r="BF132" i="24"/>
  <c r="BF183" i="24"/>
  <c r="Z115" i="24"/>
  <c r="Y117" i="24"/>
  <c r="BF59" i="16"/>
  <c r="AB102" i="23"/>
  <c r="AB123" i="23" s="1"/>
  <c r="AB135" i="23" s="1"/>
  <c r="BF56" i="16"/>
  <c r="BF116" i="24"/>
  <c r="AO12" i="17"/>
  <c r="AP9" i="17"/>
  <c r="AP10" i="17"/>
  <c r="AP8" i="17"/>
  <c r="AP11" i="17"/>
  <c r="AP59" i="14"/>
  <c r="AQ57" i="14"/>
  <c r="AQ15" i="19" s="1"/>
  <c r="AP15" i="17"/>
  <c r="AO251" i="17" s="1"/>
  <c r="AR58" i="14"/>
  <c r="AR16" i="19" s="1"/>
  <c r="AQ16" i="17"/>
  <c r="AP54" i="14"/>
  <c r="AQ52" i="14"/>
  <c r="AQ10" i="19" s="1"/>
  <c r="AQ50" i="14"/>
  <c r="AQ51" i="14"/>
  <c r="AQ9" i="19" s="1"/>
  <c r="AQ53" i="14"/>
  <c r="AQ11" i="19" s="1"/>
  <c r="AG215" i="14"/>
  <c r="BH8" i="13"/>
  <c r="BG234" i="24" l="1"/>
  <c r="BH234" i="24" s="1"/>
  <c r="AA149" i="19"/>
  <c r="BG235" i="24"/>
  <c r="BG233" i="24"/>
  <c r="AD63" i="8"/>
  <c r="AC58" i="26"/>
  <c r="AC88" i="26" s="1"/>
  <c r="AC96" i="19"/>
  <c r="AB136" i="19"/>
  <c r="AB137" i="19"/>
  <c r="AB135" i="19"/>
  <c r="BB91" i="17"/>
  <c r="AD12" i="17"/>
  <c r="AG328" i="14"/>
  <c r="AG327" i="14"/>
  <c r="AG323" i="14"/>
  <c r="AG319" i="14"/>
  <c r="AG326" i="14"/>
  <c r="AG322" i="14"/>
  <c r="AG318" i="14"/>
  <c r="AG321" i="14"/>
  <c r="AG317" i="14"/>
  <c r="AG315" i="14"/>
  <c r="AG325" i="14"/>
  <c r="AG320" i="14"/>
  <c r="AG324" i="14"/>
  <c r="AG316" i="14"/>
  <c r="BG57" i="16"/>
  <c r="BG158" i="24"/>
  <c r="BF59" i="31"/>
  <c r="AA150" i="19"/>
  <c r="BF56" i="31"/>
  <c r="BF60" i="31"/>
  <c r="AC103" i="23"/>
  <c r="AB136" i="23"/>
  <c r="AQ8" i="19"/>
  <c r="AQ12" i="19" s="1"/>
  <c r="AO250" i="17"/>
  <c r="AG228" i="14"/>
  <c r="BF21" i="30"/>
  <c r="BG116" i="24"/>
  <c r="BG132" i="24"/>
  <c r="BG59" i="16"/>
  <c r="BG176" i="24"/>
  <c r="BG56" i="16"/>
  <c r="BG179" i="24"/>
  <c r="BF58" i="31"/>
  <c r="BF69" i="31"/>
  <c r="BF23" i="30"/>
  <c r="BF68" i="31"/>
  <c r="BF57" i="31"/>
  <c r="BF67" i="31"/>
  <c r="BF55" i="31"/>
  <c r="BG167" i="24"/>
  <c r="BG226" i="24"/>
  <c r="BG41" i="22"/>
  <c r="BG183" i="24"/>
  <c r="BG148" i="24"/>
  <c r="BG107" i="23"/>
  <c r="BG110" i="23"/>
  <c r="BG161" i="24"/>
  <c r="BG46" i="31"/>
  <c r="BG13" i="30"/>
  <c r="BG22" i="30" s="1"/>
  <c r="BG224" i="24"/>
  <c r="BG228" i="24"/>
  <c r="BG227" i="24"/>
  <c r="BG225" i="24"/>
  <c r="AC102" i="23"/>
  <c r="AC123" i="23" s="1"/>
  <c r="AC135" i="23" s="1"/>
  <c r="BG42" i="22"/>
  <c r="BG53" i="16"/>
  <c r="BG142" i="24"/>
  <c r="BG125" i="24"/>
  <c r="BG135" i="24"/>
  <c r="BG173" i="24"/>
  <c r="Z180" i="24"/>
  <c r="AA178" i="24"/>
  <c r="BG154" i="24"/>
  <c r="BI56" i="8"/>
  <c r="BI61" i="8"/>
  <c r="Z149" i="24"/>
  <c r="AA147" i="24"/>
  <c r="BG119" i="24"/>
  <c r="BG145" i="24"/>
  <c r="Z126" i="24"/>
  <c r="AA124" i="24"/>
  <c r="BG128" i="24"/>
  <c r="Z171" i="24"/>
  <c r="AA169" i="24"/>
  <c r="BG45" i="22"/>
  <c r="BG104" i="23"/>
  <c r="BG54" i="16"/>
  <c r="BG55" i="16"/>
  <c r="BG58" i="16"/>
  <c r="BG170" i="24"/>
  <c r="Z133" i="24"/>
  <c r="AA131" i="24"/>
  <c r="Z162" i="24"/>
  <c r="AA160" i="24"/>
  <c r="BG122" i="24"/>
  <c r="BH56" i="8"/>
  <c r="BH61" i="8"/>
  <c r="BH60" i="16" s="1"/>
  <c r="Z159" i="24"/>
  <c r="AA157" i="24"/>
  <c r="AA115" i="24"/>
  <c r="Z117" i="24"/>
  <c r="Z152" i="24"/>
  <c r="AA150" i="24"/>
  <c r="AA121" i="24"/>
  <c r="Z123" i="24"/>
  <c r="Z177" i="24"/>
  <c r="AA175" i="24"/>
  <c r="Z120" i="24"/>
  <c r="AA118" i="24"/>
  <c r="Z184" i="24"/>
  <c r="AA182" i="24"/>
  <c r="AA134" i="24"/>
  <c r="Z136" i="24"/>
  <c r="BG186" i="24"/>
  <c r="Z155" i="24"/>
  <c r="AA153" i="24"/>
  <c r="BG61" i="16"/>
  <c r="BH61" i="16" s="1"/>
  <c r="Z146" i="24"/>
  <c r="AA144" i="24"/>
  <c r="AA166" i="24"/>
  <c r="Z168" i="24"/>
  <c r="Z187" i="24"/>
  <c r="AA185" i="24"/>
  <c r="AA127" i="24"/>
  <c r="Z129" i="24"/>
  <c r="AA172" i="24"/>
  <c r="Z174" i="24"/>
  <c r="Z143" i="24"/>
  <c r="AA141" i="24"/>
  <c r="BG109" i="23"/>
  <c r="BG43" i="22"/>
  <c r="BG108" i="23"/>
  <c r="BG151" i="24"/>
  <c r="BH151" i="24" s="1"/>
  <c r="AQ59" i="14"/>
  <c r="AP12" i="17"/>
  <c r="AQ10" i="17"/>
  <c r="AQ8" i="17"/>
  <c r="AQ11" i="17"/>
  <c r="AQ9" i="17"/>
  <c r="AR57" i="14"/>
  <c r="AR15" i="19" s="1"/>
  <c r="AQ15" i="17"/>
  <c r="AP251" i="17" s="1"/>
  <c r="AS58" i="14"/>
  <c r="AS16" i="19" s="1"/>
  <c r="AR16" i="17"/>
  <c r="AR53" i="14"/>
  <c r="AR11" i="19" s="1"/>
  <c r="AR50" i="14"/>
  <c r="AQ54" i="14"/>
  <c r="AR51" i="14"/>
  <c r="AR9" i="19" s="1"/>
  <c r="AR52" i="14"/>
  <c r="AR10" i="19" s="1"/>
  <c r="AH215" i="14"/>
  <c r="BI8" i="13"/>
  <c r="BI234" i="24" l="1"/>
  <c r="AB149" i="19"/>
  <c r="BH233" i="24"/>
  <c r="BI233" i="24" s="1"/>
  <c r="BH236" i="24"/>
  <c r="BI236" i="24" s="1"/>
  <c r="BH235" i="24"/>
  <c r="BI235" i="24" s="1"/>
  <c r="BH237" i="24"/>
  <c r="BI237" i="24" s="1"/>
  <c r="AC137" i="19"/>
  <c r="AC136" i="19"/>
  <c r="AC135" i="19"/>
  <c r="AE63" i="8"/>
  <c r="AD58" i="26"/>
  <c r="AD88" i="26" s="1"/>
  <c r="AD96" i="19"/>
  <c r="BC91" i="17"/>
  <c r="BG59" i="31"/>
  <c r="AH326" i="14"/>
  <c r="AH322" i="14"/>
  <c r="AH318" i="14"/>
  <c r="AH325" i="14"/>
  <c r="AH321" i="14"/>
  <c r="AH317" i="14"/>
  <c r="AH320" i="14"/>
  <c r="AH324" i="14"/>
  <c r="AH316" i="14"/>
  <c r="AH327" i="14"/>
  <c r="AH319" i="14"/>
  <c r="AH323" i="14"/>
  <c r="AH328" i="14"/>
  <c r="AH315" i="14"/>
  <c r="BG56" i="31"/>
  <c r="BH108" i="23"/>
  <c r="BI108" i="23" s="1"/>
  <c r="BH186" i="24"/>
  <c r="BI186" i="24" s="1"/>
  <c r="BH110" i="23"/>
  <c r="BI110" i="23" s="1"/>
  <c r="BH41" i="22"/>
  <c r="BI41" i="22" s="1"/>
  <c r="AB150" i="19"/>
  <c r="AD103" i="23"/>
  <c r="AC136" i="23"/>
  <c r="AP250" i="17"/>
  <c r="AR8" i="19"/>
  <c r="AR12" i="19" s="1"/>
  <c r="AH228" i="14"/>
  <c r="BH226" i="24"/>
  <c r="BI226" i="24" s="1"/>
  <c r="BH43" i="22"/>
  <c r="BI43" i="22" s="1"/>
  <c r="BH44" i="22"/>
  <c r="BI44" i="22" s="1"/>
  <c r="BH148" i="24"/>
  <c r="BI148" i="24" s="1"/>
  <c r="BH107" i="23"/>
  <c r="BI107" i="23" s="1"/>
  <c r="BH109" i="23"/>
  <c r="BI109" i="23" s="1"/>
  <c r="BH122" i="24"/>
  <c r="BI122" i="24" s="1"/>
  <c r="BH161" i="24"/>
  <c r="BI161" i="24" s="1"/>
  <c r="BH167" i="24"/>
  <c r="BI167" i="24" s="1"/>
  <c r="BG67" i="31"/>
  <c r="BG57" i="31"/>
  <c r="BG69" i="31"/>
  <c r="BI46" i="31"/>
  <c r="BI13" i="30"/>
  <c r="BH228" i="24"/>
  <c r="BI228" i="24" s="1"/>
  <c r="BG68" i="31"/>
  <c r="BG23" i="30"/>
  <c r="BG21" i="30"/>
  <c r="BI151" i="24"/>
  <c r="BI61" i="16"/>
  <c r="BI60" i="16"/>
  <c r="BH225" i="24"/>
  <c r="BI225" i="24" s="1"/>
  <c r="BG58" i="31"/>
  <c r="BG60" i="31"/>
  <c r="BH46" i="31"/>
  <c r="BH13" i="30"/>
  <c r="BH22" i="30" s="1"/>
  <c r="BH227" i="24"/>
  <c r="BI227" i="24" s="1"/>
  <c r="BH224" i="24"/>
  <c r="BI224" i="24" s="1"/>
  <c r="BG55" i="31"/>
  <c r="AA143" i="24"/>
  <c r="AB141" i="24"/>
  <c r="AA120" i="24"/>
  <c r="AB118" i="24"/>
  <c r="AA123" i="24"/>
  <c r="AB121" i="24"/>
  <c r="BH58" i="16"/>
  <c r="BI58" i="16" s="1"/>
  <c r="BH45" i="22"/>
  <c r="BI45" i="22" s="1"/>
  <c r="BH176" i="24"/>
  <c r="BI176" i="24" s="1"/>
  <c r="BH132" i="24"/>
  <c r="BI132" i="24" s="1"/>
  <c r="BH119" i="24"/>
  <c r="BI119" i="24" s="1"/>
  <c r="BH142" i="24"/>
  <c r="BI142" i="24" s="1"/>
  <c r="BH57" i="16"/>
  <c r="BI57" i="16" s="1"/>
  <c r="BH116" i="24"/>
  <c r="BI116" i="24" s="1"/>
  <c r="AB172" i="24"/>
  <c r="AA174" i="24"/>
  <c r="AA129" i="24"/>
  <c r="AB127" i="24"/>
  <c r="AA168" i="24"/>
  <c r="AB166" i="24"/>
  <c r="AA155" i="24"/>
  <c r="AB153" i="24"/>
  <c r="AB134" i="24"/>
  <c r="AA136" i="24"/>
  <c r="AB115" i="24"/>
  <c r="AA117" i="24"/>
  <c r="AA133" i="24"/>
  <c r="AB131" i="24"/>
  <c r="BH55" i="16"/>
  <c r="BI55" i="16" s="1"/>
  <c r="AA171" i="24"/>
  <c r="AB169" i="24"/>
  <c r="BH179" i="24"/>
  <c r="BI179" i="24" s="1"/>
  <c r="BH56" i="16"/>
  <c r="BI56" i="16" s="1"/>
  <c r="AB147" i="24"/>
  <c r="AA149" i="24"/>
  <c r="BH173" i="24"/>
  <c r="BI173" i="24" s="1"/>
  <c r="BH53" i="16"/>
  <c r="BI53" i="16" s="1"/>
  <c r="AD102" i="23"/>
  <c r="AD123" i="23" s="1"/>
  <c r="AD135" i="23" s="1"/>
  <c r="AA187" i="24"/>
  <c r="AB185" i="24"/>
  <c r="AA146" i="24"/>
  <c r="AB144" i="24"/>
  <c r="AB182" i="24"/>
  <c r="AA184" i="24"/>
  <c r="AA152" i="24"/>
  <c r="AB150" i="24"/>
  <c r="AB157" i="24"/>
  <c r="AA159" i="24"/>
  <c r="BH54" i="16"/>
  <c r="BI54" i="16" s="1"/>
  <c r="AA126" i="24"/>
  <c r="AB124" i="24"/>
  <c r="BH183" i="24"/>
  <c r="BI183" i="24" s="1"/>
  <c r="BH154" i="24"/>
  <c r="BI154" i="24" s="1"/>
  <c r="BH135" i="24"/>
  <c r="BI135" i="24" s="1"/>
  <c r="BH42" i="22"/>
  <c r="BI42" i="22" s="1"/>
  <c r="AA177" i="24"/>
  <c r="AB175" i="24"/>
  <c r="AB160" i="24"/>
  <c r="AA162" i="24"/>
  <c r="BH170" i="24"/>
  <c r="BI170" i="24" s="1"/>
  <c r="BH104" i="23"/>
  <c r="BI104" i="23" s="1"/>
  <c r="BH128" i="24"/>
  <c r="BI128" i="24" s="1"/>
  <c r="BH145" i="24"/>
  <c r="BI145" i="24" s="1"/>
  <c r="AA180" i="24"/>
  <c r="AB178" i="24"/>
  <c r="BH125" i="24"/>
  <c r="BI125" i="24" s="1"/>
  <c r="BH158" i="24"/>
  <c r="BI158" i="24" s="1"/>
  <c r="BH59" i="16"/>
  <c r="BI59" i="16" s="1"/>
  <c r="AQ12" i="17"/>
  <c r="AR9" i="17"/>
  <c r="AR11" i="17"/>
  <c r="AR10" i="17"/>
  <c r="AR59" i="14"/>
  <c r="AT58" i="14"/>
  <c r="AT16" i="19" s="1"/>
  <c r="AS16" i="17"/>
  <c r="AR54" i="14"/>
  <c r="AR8" i="17"/>
  <c r="AS57" i="14"/>
  <c r="AS15" i="19" s="1"/>
  <c r="AR15" i="17"/>
  <c r="AQ251" i="17" s="1"/>
  <c r="AS50" i="14"/>
  <c r="AS51" i="14"/>
  <c r="AS9" i="19" s="1"/>
  <c r="AS52" i="14"/>
  <c r="AS10" i="19" s="1"/>
  <c r="AS53" i="14"/>
  <c r="AS11" i="19" s="1"/>
  <c r="AI215" i="14"/>
  <c r="AC149" i="19" l="1"/>
  <c r="AF63" i="8"/>
  <c r="AE96" i="19"/>
  <c r="AE58" i="26"/>
  <c r="AE88" i="26" s="1"/>
  <c r="AD137" i="19"/>
  <c r="AD136" i="19"/>
  <c r="AD135" i="19"/>
  <c r="AD149" i="19" s="1"/>
  <c r="BD91" i="17"/>
  <c r="BH59" i="31"/>
  <c r="BI59" i="31" s="1"/>
  <c r="AI325" i="14"/>
  <c r="AI321" i="14"/>
  <c r="AI324" i="14"/>
  <c r="AI320" i="14"/>
  <c r="AI327" i="14"/>
  <c r="AI319" i="14"/>
  <c r="AI326" i="14"/>
  <c r="AI318" i="14"/>
  <c r="AI316" i="14"/>
  <c r="AI328" i="14"/>
  <c r="AI323" i="14"/>
  <c r="AI317" i="14"/>
  <c r="AI322" i="14"/>
  <c r="AI315" i="14"/>
  <c r="BH55" i="31"/>
  <c r="BI55" i="31" s="1"/>
  <c r="AC150" i="19"/>
  <c r="AE103" i="23"/>
  <c r="AD136" i="23"/>
  <c r="AQ250" i="17"/>
  <c r="AS8" i="19"/>
  <c r="AS12" i="19" s="1"/>
  <c r="AI228" i="14"/>
  <c r="BH57" i="31"/>
  <c r="BI57" i="31" s="1"/>
  <c r="BH68" i="31"/>
  <c r="BI68" i="31" s="1"/>
  <c r="BH56" i="31"/>
  <c r="BI56" i="31" s="1"/>
  <c r="BI22" i="30"/>
  <c r="BH60" i="31"/>
  <c r="BI60" i="31" s="1"/>
  <c r="BH67" i="31"/>
  <c r="BI67" i="31" s="1"/>
  <c r="BH58" i="31"/>
  <c r="BI58" i="31" s="1"/>
  <c r="BH21" i="30"/>
  <c r="BI21" i="30" s="1"/>
  <c r="BH69" i="31"/>
  <c r="BI69" i="31" s="1"/>
  <c r="BH23" i="30"/>
  <c r="BI23" i="30" s="1"/>
  <c r="AR12" i="17"/>
  <c r="AE102" i="23"/>
  <c r="AE123" i="23" s="1"/>
  <c r="AE135" i="23" s="1"/>
  <c r="AC131" i="24"/>
  <c r="AB133" i="24"/>
  <c r="AB168" i="24"/>
  <c r="AC166" i="24"/>
  <c r="AC118" i="24"/>
  <c r="AB120" i="24"/>
  <c r="AC185" i="24"/>
  <c r="AB187" i="24"/>
  <c r="AC169" i="24"/>
  <c r="AB171" i="24"/>
  <c r="AB136" i="24"/>
  <c r="AC134" i="24"/>
  <c r="AC172" i="24"/>
  <c r="AB174" i="24"/>
  <c r="AB162" i="24"/>
  <c r="AC160" i="24"/>
  <c r="AC124" i="24"/>
  <c r="AB126" i="24"/>
  <c r="AC157" i="24"/>
  <c r="AB159" i="24"/>
  <c r="AB184" i="24"/>
  <c r="AC182" i="24"/>
  <c r="AC147" i="24"/>
  <c r="AB149" i="24"/>
  <c r="AB155" i="24"/>
  <c r="AC153" i="24"/>
  <c r="AB129" i="24"/>
  <c r="AC127" i="24"/>
  <c r="AB123" i="24"/>
  <c r="AC121" i="24"/>
  <c r="AB143" i="24"/>
  <c r="AC141" i="24"/>
  <c r="AB180" i="24"/>
  <c r="AC178" i="24"/>
  <c r="AB177" i="24"/>
  <c r="AC175" i="24"/>
  <c r="AC150" i="24"/>
  <c r="AB152" i="24"/>
  <c r="AB146" i="24"/>
  <c r="AC144" i="24"/>
  <c r="AB117" i="24"/>
  <c r="AC115" i="24"/>
  <c r="AS59" i="14"/>
  <c r="AS10" i="17"/>
  <c r="AS9" i="17"/>
  <c r="AS11" i="17"/>
  <c r="AS8" i="17"/>
  <c r="AT57" i="14"/>
  <c r="AT15" i="19" s="1"/>
  <c r="AS15" i="17"/>
  <c r="AR251" i="17" s="1"/>
  <c r="AU58" i="14"/>
  <c r="AU16" i="19" s="1"/>
  <c r="AT16" i="17"/>
  <c r="AS54" i="14"/>
  <c r="AT53" i="14"/>
  <c r="AT11" i="19" s="1"/>
  <c r="AT51" i="14"/>
  <c r="AT9" i="19" s="1"/>
  <c r="AT52" i="14"/>
  <c r="AT10" i="19" s="1"/>
  <c r="AT50" i="14"/>
  <c r="AJ215" i="14"/>
  <c r="AE136" i="19" l="1"/>
  <c r="AE137" i="19"/>
  <c r="AE135" i="19"/>
  <c r="AE149" i="19" s="1"/>
  <c r="AG63" i="8"/>
  <c r="AF96" i="19"/>
  <c r="AF58" i="26"/>
  <c r="AF88" i="26" s="1"/>
  <c r="BE91" i="17"/>
  <c r="AJ328" i="14"/>
  <c r="AJ324" i="14"/>
  <c r="AJ320" i="14"/>
  <c r="AJ327" i="14"/>
  <c r="AJ323" i="14"/>
  <c r="AJ319" i="14"/>
  <c r="AJ326" i="14"/>
  <c r="AJ318" i="14"/>
  <c r="AJ316" i="14"/>
  <c r="AJ322" i="14"/>
  <c r="AJ317" i="14"/>
  <c r="AJ325" i="14"/>
  <c r="AJ315" i="14"/>
  <c r="AJ321" i="14"/>
  <c r="AD150" i="19"/>
  <c r="AF103" i="23"/>
  <c r="AE136" i="23"/>
  <c r="AT8" i="19"/>
  <c r="AT12" i="19" s="1"/>
  <c r="AR250" i="17"/>
  <c r="AJ228" i="14"/>
  <c r="AC117" i="24"/>
  <c r="AD115" i="24"/>
  <c r="AC180" i="24"/>
  <c r="AD178" i="24"/>
  <c r="AC123" i="24"/>
  <c r="AD121" i="24"/>
  <c r="AD153" i="24"/>
  <c r="AC155" i="24"/>
  <c r="AC184" i="24"/>
  <c r="AD182" i="24"/>
  <c r="AC152" i="24"/>
  <c r="AD150" i="24"/>
  <c r="AC126" i="24"/>
  <c r="AD124" i="24"/>
  <c r="AD172" i="24"/>
  <c r="AC174" i="24"/>
  <c r="AD169" i="24"/>
  <c r="AC171" i="24"/>
  <c r="AC120" i="24"/>
  <c r="AD118" i="24"/>
  <c r="AC133" i="24"/>
  <c r="AD131" i="24"/>
  <c r="AC146" i="24"/>
  <c r="AD144" i="24"/>
  <c r="AC177" i="24"/>
  <c r="AD175" i="24"/>
  <c r="AD141" i="24"/>
  <c r="AC143" i="24"/>
  <c r="AD127" i="24"/>
  <c r="AC129" i="24"/>
  <c r="AC162" i="24"/>
  <c r="AD160" i="24"/>
  <c r="AD134" i="24"/>
  <c r="AC136" i="24"/>
  <c r="AD166" i="24"/>
  <c r="AC168" i="24"/>
  <c r="AD147" i="24"/>
  <c r="AC149" i="24"/>
  <c r="AC159" i="24"/>
  <c r="AD157" i="24"/>
  <c r="AC187" i="24"/>
  <c r="AD185" i="24"/>
  <c r="AF102" i="23"/>
  <c r="AF123" i="23" s="1"/>
  <c r="AF135" i="23" s="1"/>
  <c r="AS12" i="17"/>
  <c r="AT10" i="17"/>
  <c r="AT9" i="17"/>
  <c r="AT8" i="17"/>
  <c r="AT59" i="14"/>
  <c r="AT11" i="17"/>
  <c r="AU57" i="14"/>
  <c r="AU15" i="19" s="1"/>
  <c r="AT15" i="17"/>
  <c r="AS251" i="17" s="1"/>
  <c r="AV58" i="14"/>
  <c r="AV16" i="19" s="1"/>
  <c r="AU16" i="17"/>
  <c r="AU51" i="14"/>
  <c r="AU9" i="19" s="1"/>
  <c r="AU50" i="14"/>
  <c r="AT54" i="14"/>
  <c r="AU52" i="14"/>
  <c r="AU10" i="19" s="1"/>
  <c r="AU53" i="14"/>
  <c r="AU11" i="19" s="1"/>
  <c r="AK215" i="14"/>
  <c r="AH63" i="8" l="1"/>
  <c r="AG96" i="19"/>
  <c r="AG58" i="26"/>
  <c r="AG88" i="26" s="1"/>
  <c r="AF137" i="19"/>
  <c r="AF136" i="19"/>
  <c r="AF135" i="19"/>
  <c r="BF91" i="17"/>
  <c r="AK327" i="14"/>
  <c r="AK323" i="14"/>
  <c r="AK319" i="14"/>
  <c r="AK328" i="14"/>
  <c r="AK326" i="14"/>
  <c r="AK322" i="14"/>
  <c r="AK318" i="14"/>
  <c r="AK325" i="14"/>
  <c r="AK315" i="14"/>
  <c r="AK324" i="14"/>
  <c r="AK317" i="14"/>
  <c r="AK321" i="14"/>
  <c r="AK320" i="14"/>
  <c r="AK316" i="14"/>
  <c r="AE150" i="19"/>
  <c r="AG103" i="23"/>
  <c r="AF136" i="23"/>
  <c r="AS250" i="17"/>
  <c r="AF149" i="19"/>
  <c r="AU8" i="19"/>
  <c r="AU12" i="19" s="1"/>
  <c r="AK228" i="14"/>
  <c r="AG102" i="23"/>
  <c r="AG123" i="23" s="1"/>
  <c r="AG135" i="23" s="1"/>
  <c r="AD159" i="24"/>
  <c r="AE157" i="24"/>
  <c r="AE160" i="24"/>
  <c r="AD162" i="24"/>
  <c r="AD146" i="24"/>
  <c r="AE144" i="24"/>
  <c r="AE118" i="24"/>
  <c r="AD120" i="24"/>
  <c r="AD152" i="24"/>
  <c r="AE150" i="24"/>
  <c r="AE178" i="24"/>
  <c r="AD180" i="24"/>
  <c r="AD168" i="24"/>
  <c r="AE166" i="24"/>
  <c r="AD143" i="24"/>
  <c r="AE141" i="24"/>
  <c r="AD174" i="24"/>
  <c r="AE172" i="24"/>
  <c r="AE153" i="24"/>
  <c r="AD155" i="24"/>
  <c r="AE185" i="24"/>
  <c r="AD187" i="24"/>
  <c r="AD177" i="24"/>
  <c r="AE175" i="24"/>
  <c r="AD133" i="24"/>
  <c r="AE131" i="24"/>
  <c r="AD126" i="24"/>
  <c r="AE124" i="24"/>
  <c r="AE182" i="24"/>
  <c r="AD184" i="24"/>
  <c r="AE121" i="24"/>
  <c r="AD123" i="24"/>
  <c r="AD117" i="24"/>
  <c r="AE115" i="24"/>
  <c r="AD149" i="24"/>
  <c r="AE147" i="24"/>
  <c r="AE134" i="24"/>
  <c r="AD136" i="24"/>
  <c r="AD129" i="24"/>
  <c r="AE127" i="24"/>
  <c r="AD171" i="24"/>
  <c r="AE169" i="24"/>
  <c r="AT12" i="17"/>
  <c r="AU10" i="17"/>
  <c r="AU9" i="17"/>
  <c r="AU59" i="14"/>
  <c r="AU8" i="17"/>
  <c r="AW58" i="14"/>
  <c r="AW16" i="19" s="1"/>
  <c r="AV16" i="17"/>
  <c r="AV57" i="14"/>
  <c r="AV15" i="19" s="1"/>
  <c r="AU15" i="17"/>
  <c r="AT251" i="17" s="1"/>
  <c r="AU54" i="14"/>
  <c r="AU11" i="17"/>
  <c r="AV50" i="14"/>
  <c r="AV53" i="14"/>
  <c r="AV11" i="19" s="1"/>
  <c r="AV52" i="14"/>
  <c r="AV10" i="19" s="1"/>
  <c r="AV51" i="14"/>
  <c r="AV9" i="19" s="1"/>
  <c r="AL215" i="14"/>
  <c r="AG137" i="19" l="1"/>
  <c r="AG136" i="19"/>
  <c r="AG135" i="19"/>
  <c r="AI63" i="8"/>
  <c r="AH58" i="26"/>
  <c r="AH88" i="26" s="1"/>
  <c r="AH96" i="19"/>
  <c r="BG91" i="17"/>
  <c r="AV59" i="14"/>
  <c r="AL328" i="14"/>
  <c r="AL326" i="14"/>
  <c r="AL322" i="14"/>
  <c r="AL318" i="14"/>
  <c r="AL325" i="14"/>
  <c r="AL321" i="14"/>
  <c r="AL317" i="14"/>
  <c r="AL324" i="14"/>
  <c r="AL320" i="14"/>
  <c r="AL323" i="14"/>
  <c r="AL316" i="14"/>
  <c r="AL319" i="14"/>
  <c r="AL327" i="14"/>
  <c r="AL315" i="14"/>
  <c r="AF150" i="19"/>
  <c r="AT250" i="17"/>
  <c r="AH103" i="23"/>
  <c r="AG136" i="23"/>
  <c r="AV8" i="19"/>
  <c r="AV12" i="19" s="1"/>
  <c r="AG149" i="19"/>
  <c r="AL228" i="14"/>
  <c r="AE171" i="24"/>
  <c r="AF169" i="24"/>
  <c r="AE117" i="24"/>
  <c r="AF115" i="24"/>
  <c r="AE133" i="24"/>
  <c r="AF131" i="24"/>
  <c r="AE174" i="24"/>
  <c r="AF172" i="24"/>
  <c r="AE168" i="24"/>
  <c r="AF166" i="24"/>
  <c r="AF150" i="24"/>
  <c r="AE152" i="24"/>
  <c r="AF144" i="24"/>
  <c r="AE146" i="24"/>
  <c r="AE159" i="24"/>
  <c r="AF157" i="24"/>
  <c r="AE136" i="24"/>
  <c r="AF134" i="24"/>
  <c r="AF182" i="24"/>
  <c r="AE184" i="24"/>
  <c r="AE187" i="24"/>
  <c r="AF185" i="24"/>
  <c r="AE129" i="24"/>
  <c r="AF127" i="24"/>
  <c r="AE149" i="24"/>
  <c r="AF147" i="24"/>
  <c r="AE126" i="24"/>
  <c r="AF124" i="24"/>
  <c r="AE177" i="24"/>
  <c r="AF175" i="24"/>
  <c r="AE143" i="24"/>
  <c r="AF141" i="24"/>
  <c r="AH102" i="23"/>
  <c r="AH123" i="23" s="1"/>
  <c r="AH135" i="23" s="1"/>
  <c r="AE123" i="24"/>
  <c r="AF121" i="24"/>
  <c r="AE155" i="24"/>
  <c r="AF153" i="24"/>
  <c r="AE180" i="24"/>
  <c r="AF178" i="24"/>
  <c r="AF118" i="24"/>
  <c r="AE120" i="24"/>
  <c r="AF160" i="24"/>
  <c r="AE162" i="24"/>
  <c r="AU12" i="17"/>
  <c r="AV8" i="17"/>
  <c r="AV9" i="17"/>
  <c r="AV10" i="17"/>
  <c r="AV11" i="17"/>
  <c r="AW57" i="14"/>
  <c r="AW15" i="19" s="1"/>
  <c r="AV15" i="17"/>
  <c r="AU251" i="17" s="1"/>
  <c r="AX58" i="14"/>
  <c r="AX16" i="19" s="1"/>
  <c r="AW16" i="17"/>
  <c r="AV54" i="14"/>
  <c r="AW51" i="14"/>
  <c r="AW9" i="19" s="1"/>
  <c r="AW53" i="14"/>
  <c r="AW11" i="19" s="1"/>
  <c r="AW52" i="14"/>
  <c r="AW10" i="19" s="1"/>
  <c r="AW50" i="14"/>
  <c r="AM215" i="14"/>
  <c r="AJ63" i="8" l="1"/>
  <c r="AI96" i="19"/>
  <c r="AI58" i="26"/>
  <c r="AI88" i="26" s="1"/>
  <c r="AH136" i="19"/>
  <c r="AH149" i="19" s="1"/>
  <c r="AH137" i="19"/>
  <c r="AH135" i="19"/>
  <c r="BH91" i="17"/>
  <c r="AM325" i="14"/>
  <c r="AM321" i="14"/>
  <c r="AM324" i="14"/>
  <c r="AM320" i="14"/>
  <c r="AM323" i="14"/>
  <c r="AM317" i="14"/>
  <c r="AM328" i="14"/>
  <c r="AM322" i="14"/>
  <c r="AM316" i="14"/>
  <c r="AM327" i="14"/>
  <c r="AM319" i="14"/>
  <c r="AM326" i="14"/>
  <c r="AM315" i="14"/>
  <c r="AM318" i="14"/>
  <c r="AG150" i="19"/>
  <c r="AI103" i="23"/>
  <c r="AH136" i="23"/>
  <c r="AW8" i="19"/>
  <c r="AW12" i="19" s="1"/>
  <c r="AU250" i="17"/>
  <c r="AM228" i="14"/>
  <c r="AG178" i="24"/>
  <c r="AF180" i="24"/>
  <c r="AF123" i="24"/>
  <c r="AG121" i="24"/>
  <c r="AF143" i="24"/>
  <c r="AG141" i="24"/>
  <c r="AF126" i="24"/>
  <c r="AG124" i="24"/>
  <c r="AF129" i="24"/>
  <c r="AG127" i="24"/>
  <c r="AF159" i="24"/>
  <c r="AG157" i="24"/>
  <c r="AF174" i="24"/>
  <c r="AG172" i="24"/>
  <c r="AG115" i="24"/>
  <c r="AF117" i="24"/>
  <c r="AF162" i="24"/>
  <c r="AG160" i="24"/>
  <c r="AG182" i="24"/>
  <c r="AF184" i="24"/>
  <c r="AF152" i="24"/>
  <c r="AG150" i="24"/>
  <c r="AG153" i="24"/>
  <c r="AF155" i="24"/>
  <c r="AF177" i="24"/>
  <c r="AG175" i="24"/>
  <c r="AG147" i="24"/>
  <c r="AF149" i="24"/>
  <c r="AF187" i="24"/>
  <c r="AG185" i="24"/>
  <c r="AF136" i="24"/>
  <c r="AG134" i="24"/>
  <c r="AG166" i="24"/>
  <c r="AF168" i="24"/>
  <c r="AF133" i="24"/>
  <c r="AG131" i="24"/>
  <c r="AG169" i="24"/>
  <c r="AF171" i="24"/>
  <c r="AG118" i="24"/>
  <c r="AF120" i="24"/>
  <c r="AI102" i="23"/>
  <c r="AI123" i="23" s="1"/>
  <c r="AI135" i="23" s="1"/>
  <c r="AF146" i="24"/>
  <c r="AG144" i="24"/>
  <c r="AW59" i="14"/>
  <c r="AW10" i="17"/>
  <c r="AV12" i="17"/>
  <c r="AW9" i="17"/>
  <c r="AW8" i="17"/>
  <c r="AW11" i="17"/>
  <c r="AX16" i="17"/>
  <c r="AX57" i="14"/>
  <c r="AX15" i="19" s="1"/>
  <c r="AW15" i="17"/>
  <c r="AV251" i="17" s="1"/>
  <c r="AX50" i="14"/>
  <c r="AX53" i="14"/>
  <c r="AX11" i="19" s="1"/>
  <c r="AW54" i="14"/>
  <c r="AX52" i="14"/>
  <c r="AX10" i="19" s="1"/>
  <c r="AX51" i="14"/>
  <c r="AX9" i="19" s="1"/>
  <c r="AN215" i="14"/>
  <c r="AI136" i="19" l="1"/>
  <c r="AI137" i="19"/>
  <c r="AI135" i="19"/>
  <c r="AK63" i="8"/>
  <c r="AJ58" i="26"/>
  <c r="AJ88" i="26" s="1"/>
  <c r="AJ96" i="19"/>
  <c r="BI91" i="17"/>
  <c r="AN328" i="14"/>
  <c r="AN324" i="14"/>
  <c r="AN320" i="14"/>
  <c r="AN327" i="14"/>
  <c r="AN323" i="14"/>
  <c r="AN319" i="14"/>
  <c r="AN322" i="14"/>
  <c r="AN316" i="14"/>
  <c r="AN326" i="14"/>
  <c r="AN318" i="14"/>
  <c r="AN321" i="14"/>
  <c r="AN315" i="14"/>
  <c r="AN317" i="14"/>
  <c r="AN325" i="14"/>
  <c r="AH150" i="19"/>
  <c r="AJ103" i="23"/>
  <c r="AI136" i="23"/>
  <c r="AX8" i="19"/>
  <c r="AX12" i="19" s="1"/>
  <c r="AV250" i="17"/>
  <c r="AI149" i="19"/>
  <c r="AN228" i="14"/>
  <c r="AH144" i="24"/>
  <c r="AG146" i="24"/>
  <c r="AH131" i="24"/>
  <c r="AG133" i="24"/>
  <c r="AG136" i="24"/>
  <c r="AH134" i="24"/>
  <c r="AG159" i="24"/>
  <c r="AH157" i="24"/>
  <c r="AG126" i="24"/>
  <c r="AH124" i="24"/>
  <c r="AH121" i="24"/>
  <c r="AG123" i="24"/>
  <c r="AH118" i="24"/>
  <c r="AG120" i="24"/>
  <c r="AH147" i="24"/>
  <c r="AG149" i="24"/>
  <c r="AG155" i="24"/>
  <c r="AH153" i="24"/>
  <c r="AG184" i="24"/>
  <c r="AH182" i="24"/>
  <c r="AG117" i="24"/>
  <c r="AH115" i="24"/>
  <c r="AH185" i="24"/>
  <c r="AG187" i="24"/>
  <c r="AG177" i="24"/>
  <c r="AH175" i="24"/>
  <c r="AH150" i="24"/>
  <c r="AG152" i="24"/>
  <c r="AG162" i="24"/>
  <c r="AH160" i="24"/>
  <c r="AG174" i="24"/>
  <c r="AH172" i="24"/>
  <c r="AH127" i="24"/>
  <c r="AG129" i="24"/>
  <c r="AG143" i="24"/>
  <c r="AH141" i="24"/>
  <c r="AJ102" i="23"/>
  <c r="AJ123" i="23" s="1"/>
  <c r="AJ135" i="23" s="1"/>
  <c r="AG171" i="24"/>
  <c r="AH169" i="24"/>
  <c r="AG168" i="24"/>
  <c r="AH166" i="24"/>
  <c r="AG180" i="24"/>
  <c r="AH178" i="24"/>
  <c r="AW12" i="17"/>
  <c r="AX9" i="17"/>
  <c r="AX10" i="17"/>
  <c r="AX15" i="17"/>
  <c r="AW251" i="17" s="1"/>
  <c r="AX8" i="17"/>
  <c r="AX11" i="17"/>
  <c r="AX59" i="14"/>
  <c r="AX54" i="14"/>
  <c r="AO215" i="14"/>
  <c r="AL63" i="8" l="1"/>
  <c r="AK58" i="26"/>
  <c r="AK88" i="26" s="1"/>
  <c r="AK96" i="19"/>
  <c r="AJ136" i="19"/>
  <c r="AJ149" i="19" s="1"/>
  <c r="AJ137" i="19"/>
  <c r="AJ135" i="19"/>
  <c r="AO327" i="14"/>
  <c r="AO323" i="14"/>
  <c r="AO319" i="14"/>
  <c r="AO326" i="14"/>
  <c r="AO322" i="14"/>
  <c r="AO318" i="14"/>
  <c r="AO328" i="14"/>
  <c r="AO321" i="14"/>
  <c r="AO315" i="14"/>
  <c r="AO317" i="14"/>
  <c r="AO320" i="14"/>
  <c r="AO325" i="14"/>
  <c r="AO316" i="14"/>
  <c r="AO324" i="14"/>
  <c r="AI150" i="19"/>
  <c r="AK103" i="23"/>
  <c r="AJ136" i="23"/>
  <c r="AW250" i="17"/>
  <c r="AO228" i="14"/>
  <c r="AI178" i="24"/>
  <c r="AH180" i="24"/>
  <c r="AH171" i="24"/>
  <c r="AI169" i="24"/>
  <c r="AH143" i="24"/>
  <c r="AI141" i="24"/>
  <c r="AI172" i="24"/>
  <c r="AH174" i="24"/>
  <c r="AI182" i="24"/>
  <c r="AH184" i="24"/>
  <c r="AI157" i="24"/>
  <c r="AH159" i="24"/>
  <c r="AI150" i="24"/>
  <c r="AH152" i="24"/>
  <c r="AH187" i="24"/>
  <c r="AI185" i="24"/>
  <c r="AI147" i="24"/>
  <c r="AH149" i="24"/>
  <c r="AH123" i="24"/>
  <c r="AI121" i="24"/>
  <c r="AH133" i="24"/>
  <c r="AI131" i="24"/>
  <c r="AH168" i="24"/>
  <c r="AI166" i="24"/>
  <c r="AK102" i="23"/>
  <c r="AK123" i="23" s="1"/>
  <c r="AK135" i="23" s="1"/>
  <c r="AI160" i="24"/>
  <c r="AH162" i="24"/>
  <c r="AH177" i="24"/>
  <c r="AI175" i="24"/>
  <c r="AI115" i="24"/>
  <c r="AH117" i="24"/>
  <c r="AH155" i="24"/>
  <c r="AI153" i="24"/>
  <c r="AH126" i="24"/>
  <c r="AI124" i="24"/>
  <c r="AH136" i="24"/>
  <c r="AI134" i="24"/>
  <c r="AH129" i="24"/>
  <c r="AI127" i="24"/>
  <c r="AH120" i="24"/>
  <c r="AI118" i="24"/>
  <c r="AI144" i="24"/>
  <c r="AH146" i="24"/>
  <c r="AX12" i="17"/>
  <c r="AP215" i="14"/>
  <c r="AK137" i="19" l="1"/>
  <c r="AK136" i="19"/>
  <c r="AK135" i="19"/>
  <c r="AM63" i="8"/>
  <c r="AL58" i="26"/>
  <c r="AL88" i="26" s="1"/>
  <c r="AL96" i="19"/>
  <c r="AP326" i="14"/>
  <c r="AP322" i="14"/>
  <c r="AP318" i="14"/>
  <c r="AP328" i="14"/>
  <c r="AP325" i="14"/>
  <c r="AP321" i="14"/>
  <c r="AP317" i="14"/>
  <c r="AP320" i="14"/>
  <c r="AP316" i="14"/>
  <c r="AP327" i="14"/>
  <c r="AP319" i="14"/>
  <c r="AP324" i="14"/>
  <c r="AP315" i="14"/>
  <c r="AP323" i="14"/>
  <c r="AJ150" i="19"/>
  <c r="AL103" i="23"/>
  <c r="AK136" i="23"/>
  <c r="AK149" i="19"/>
  <c r="AP228" i="14"/>
  <c r="AI129" i="24"/>
  <c r="AJ127" i="24"/>
  <c r="AJ124" i="24"/>
  <c r="AI126" i="24"/>
  <c r="AI168" i="24"/>
  <c r="AJ166" i="24"/>
  <c r="AI123" i="24"/>
  <c r="AJ121" i="24"/>
  <c r="AI187" i="24"/>
  <c r="AJ185" i="24"/>
  <c r="AI171" i="24"/>
  <c r="AJ169" i="24"/>
  <c r="AI146" i="24"/>
  <c r="AJ144" i="24"/>
  <c r="AI117" i="24"/>
  <c r="AJ115" i="24"/>
  <c r="AI162" i="24"/>
  <c r="AJ160" i="24"/>
  <c r="AJ157" i="24"/>
  <c r="AI159" i="24"/>
  <c r="AI174" i="24"/>
  <c r="AJ172" i="24"/>
  <c r="AI120" i="24"/>
  <c r="AJ118" i="24"/>
  <c r="AI136" i="24"/>
  <c r="AJ134" i="24"/>
  <c r="AJ153" i="24"/>
  <c r="AI155" i="24"/>
  <c r="AI177" i="24"/>
  <c r="AJ175" i="24"/>
  <c r="AJ131" i="24"/>
  <c r="AI133" i="24"/>
  <c r="AI143" i="24"/>
  <c r="AJ141" i="24"/>
  <c r="AL102" i="23"/>
  <c r="AL123" i="23" s="1"/>
  <c r="AL135" i="23" s="1"/>
  <c r="AJ147" i="24"/>
  <c r="AI149" i="24"/>
  <c r="AI152" i="24"/>
  <c r="AJ150" i="24"/>
  <c r="AJ182" i="24"/>
  <c r="AI184" i="24"/>
  <c r="AI180" i="24"/>
  <c r="AJ178" i="24"/>
  <c r="AQ215" i="14"/>
  <c r="AL137" i="19" l="1"/>
  <c r="AL136" i="19"/>
  <c r="AL135" i="19"/>
  <c r="AN63" i="8"/>
  <c r="AM96" i="19"/>
  <c r="AM58" i="26"/>
  <c r="AM88" i="26" s="1"/>
  <c r="AQ328" i="14"/>
  <c r="AQ325" i="14"/>
  <c r="AQ321" i="14"/>
  <c r="AQ324" i="14"/>
  <c r="AQ320" i="14"/>
  <c r="AQ327" i="14"/>
  <c r="AQ319" i="14"/>
  <c r="AQ323" i="14"/>
  <c r="AQ326" i="14"/>
  <c r="AQ318" i="14"/>
  <c r="AQ317" i="14"/>
  <c r="AQ316" i="14"/>
  <c r="AQ322" i="14"/>
  <c r="AQ315" i="14"/>
  <c r="AK150" i="19"/>
  <c r="AM103" i="23"/>
  <c r="AL136" i="23"/>
  <c r="AL149" i="19"/>
  <c r="AQ228" i="14"/>
  <c r="AK178" i="24"/>
  <c r="AJ180" i="24"/>
  <c r="AJ152" i="24"/>
  <c r="AK150" i="24"/>
  <c r="AM102" i="23"/>
  <c r="AM123" i="23" s="1"/>
  <c r="AM135" i="23" s="1"/>
  <c r="AJ120" i="24"/>
  <c r="AK118" i="24"/>
  <c r="AK115" i="24"/>
  <c r="AJ117" i="24"/>
  <c r="AJ171" i="24"/>
  <c r="AK169" i="24"/>
  <c r="AJ123" i="24"/>
  <c r="AK121" i="24"/>
  <c r="AJ133" i="24"/>
  <c r="AK131" i="24"/>
  <c r="AK153" i="24"/>
  <c r="AJ155" i="24"/>
  <c r="AJ159" i="24"/>
  <c r="AK157" i="24"/>
  <c r="AK124" i="24"/>
  <c r="AJ126" i="24"/>
  <c r="AJ143" i="24"/>
  <c r="AK141" i="24"/>
  <c r="AJ177" i="24"/>
  <c r="AK175" i="24"/>
  <c r="AJ136" i="24"/>
  <c r="AK134" i="24"/>
  <c r="AJ174" i="24"/>
  <c r="AK172" i="24"/>
  <c r="AJ162" i="24"/>
  <c r="AK160" i="24"/>
  <c r="AJ146" i="24"/>
  <c r="AK144" i="24"/>
  <c r="AK185" i="24"/>
  <c r="AJ187" i="24"/>
  <c r="AK166" i="24"/>
  <c r="AJ168" i="24"/>
  <c r="AK127" i="24"/>
  <c r="AJ129" i="24"/>
  <c r="AJ184" i="24"/>
  <c r="AK182" i="24"/>
  <c r="AK147" i="24"/>
  <c r="AJ149" i="24"/>
  <c r="AR215" i="14"/>
  <c r="AO63" i="8" l="1"/>
  <c r="AN58" i="26"/>
  <c r="AN88" i="26" s="1"/>
  <c r="AN96" i="19"/>
  <c r="AM137" i="19"/>
  <c r="AM136" i="19"/>
  <c r="AM135" i="19"/>
  <c r="AR328" i="14"/>
  <c r="AR324" i="14"/>
  <c r="AR320" i="14"/>
  <c r="AR327" i="14"/>
  <c r="AR323" i="14"/>
  <c r="AR319" i="14"/>
  <c r="AR326" i="14"/>
  <c r="AR318" i="14"/>
  <c r="AR317" i="14"/>
  <c r="AR316" i="14"/>
  <c r="AR325" i="14"/>
  <c r="AR315" i="14"/>
  <c r="AR322" i="14"/>
  <c r="AR321" i="14"/>
  <c r="AL150" i="19"/>
  <c r="AN103" i="23"/>
  <c r="AM136" i="23"/>
  <c r="AM149" i="19"/>
  <c r="AR228" i="14"/>
  <c r="AK162" i="24"/>
  <c r="AL160" i="24"/>
  <c r="AK136" i="24"/>
  <c r="AL134" i="24"/>
  <c r="AL141" i="24"/>
  <c r="AK143" i="24"/>
  <c r="AK159" i="24"/>
  <c r="AL157" i="24"/>
  <c r="AK133" i="24"/>
  <c r="AL131" i="24"/>
  <c r="AL169" i="24"/>
  <c r="AK171" i="24"/>
  <c r="AK120" i="24"/>
  <c r="AL118" i="24"/>
  <c r="AK152" i="24"/>
  <c r="AL150" i="24"/>
  <c r="AL147" i="24"/>
  <c r="AK149" i="24"/>
  <c r="AK129" i="24"/>
  <c r="AL127" i="24"/>
  <c r="AK187" i="24"/>
  <c r="AL185" i="24"/>
  <c r="AK184" i="24"/>
  <c r="AL182" i="24"/>
  <c r="AK146" i="24"/>
  <c r="AL144" i="24"/>
  <c r="AK174" i="24"/>
  <c r="AL172" i="24"/>
  <c r="AK177" i="24"/>
  <c r="AL175" i="24"/>
  <c r="AK123" i="24"/>
  <c r="AL121" i="24"/>
  <c r="AN102" i="23"/>
  <c r="AN123" i="23" s="1"/>
  <c r="AN135" i="23" s="1"/>
  <c r="AK168" i="24"/>
  <c r="AL166" i="24"/>
  <c r="AL124" i="24"/>
  <c r="AK126" i="24"/>
  <c r="AK155" i="24"/>
  <c r="AL153" i="24"/>
  <c r="AK117" i="24"/>
  <c r="AL115" i="24"/>
  <c r="AK180" i="24"/>
  <c r="AL178" i="24"/>
  <c r="AS215" i="14"/>
  <c r="AN137" i="19" l="1"/>
  <c r="AN136" i="19"/>
  <c r="AN135" i="19"/>
  <c r="AP63" i="8"/>
  <c r="AO96" i="19"/>
  <c r="AO58" i="26"/>
  <c r="AO88" i="26" s="1"/>
  <c r="AS327" i="14"/>
  <c r="AS323" i="14"/>
  <c r="AS319" i="14"/>
  <c r="AS326" i="14"/>
  <c r="AS322" i="14"/>
  <c r="AS318" i="14"/>
  <c r="AS325" i="14"/>
  <c r="AS315" i="14"/>
  <c r="AS321" i="14"/>
  <c r="AS324" i="14"/>
  <c r="AS316" i="14"/>
  <c r="AS328" i="14"/>
  <c r="AS320" i="14"/>
  <c r="AS317" i="14"/>
  <c r="AM150" i="19"/>
  <c r="AO103" i="23"/>
  <c r="AN136" i="23"/>
  <c r="AN149" i="19"/>
  <c r="AS228" i="14"/>
  <c r="AL180" i="24"/>
  <c r="AM178" i="24"/>
  <c r="AL155" i="24"/>
  <c r="AM153" i="24"/>
  <c r="AL168" i="24"/>
  <c r="AM166" i="24"/>
  <c r="AM121" i="24"/>
  <c r="AL123" i="24"/>
  <c r="AM172" i="24"/>
  <c r="AL174" i="24"/>
  <c r="AM182" i="24"/>
  <c r="AL184" i="24"/>
  <c r="AL129" i="24"/>
  <c r="AM127" i="24"/>
  <c r="AM150" i="24"/>
  <c r="AL152" i="24"/>
  <c r="AL159" i="24"/>
  <c r="AM157" i="24"/>
  <c r="AM134" i="24"/>
  <c r="AL136" i="24"/>
  <c r="AL171" i="24"/>
  <c r="AM169" i="24"/>
  <c r="AL117" i="24"/>
  <c r="AM115" i="24"/>
  <c r="AL177" i="24"/>
  <c r="AM175" i="24"/>
  <c r="AM144" i="24"/>
  <c r="AL146" i="24"/>
  <c r="AL187" i="24"/>
  <c r="AM185" i="24"/>
  <c r="AL120" i="24"/>
  <c r="AM118" i="24"/>
  <c r="AL133" i="24"/>
  <c r="AM131" i="24"/>
  <c r="AM160" i="24"/>
  <c r="AL162" i="24"/>
  <c r="AL126" i="24"/>
  <c r="AM124" i="24"/>
  <c r="AO102" i="23"/>
  <c r="AO123" i="23" s="1"/>
  <c r="AO135" i="23" s="1"/>
  <c r="AM147" i="24"/>
  <c r="AL149" i="24"/>
  <c r="AL143" i="24"/>
  <c r="AM141" i="24"/>
  <c r="AT215" i="14"/>
  <c r="AQ63" i="8" l="1"/>
  <c r="AP58" i="26"/>
  <c r="AP88" i="26" s="1"/>
  <c r="AP96" i="19"/>
  <c r="AO136" i="19"/>
  <c r="AO149" i="19" s="1"/>
  <c r="AO137" i="19"/>
  <c r="AO135" i="19"/>
  <c r="AT326" i="14"/>
  <c r="AT322" i="14"/>
  <c r="AT318" i="14"/>
  <c r="AT325" i="14"/>
  <c r="AT321" i="14"/>
  <c r="AT317" i="14"/>
  <c r="AT324" i="14"/>
  <c r="AT328" i="14"/>
  <c r="AT323" i="14"/>
  <c r="AT320" i="14"/>
  <c r="AT316" i="14"/>
  <c r="AT315" i="14"/>
  <c r="AT327" i="14"/>
  <c r="AT319" i="14"/>
  <c r="AN150" i="19"/>
  <c r="AP103" i="23"/>
  <c r="AO136" i="23"/>
  <c r="AT228" i="14"/>
  <c r="AM143" i="24"/>
  <c r="AN141" i="24"/>
  <c r="AP102" i="23"/>
  <c r="AP123" i="23" s="1"/>
  <c r="AP135" i="23" s="1"/>
  <c r="AM120" i="24"/>
  <c r="AN118" i="24"/>
  <c r="AM117" i="24"/>
  <c r="AN115" i="24"/>
  <c r="AM155" i="24"/>
  <c r="AN153" i="24"/>
  <c r="AM162" i="24"/>
  <c r="AN160" i="24"/>
  <c r="AN144" i="24"/>
  <c r="AM146" i="24"/>
  <c r="AN134" i="24"/>
  <c r="AM136" i="24"/>
  <c r="AM152" i="24"/>
  <c r="AN150" i="24"/>
  <c r="AN182" i="24"/>
  <c r="AM184" i="24"/>
  <c r="AM123" i="24"/>
  <c r="AN121" i="24"/>
  <c r="AM126" i="24"/>
  <c r="AN124" i="24"/>
  <c r="AN131" i="24"/>
  <c r="AM133" i="24"/>
  <c r="AM187" i="24"/>
  <c r="AN185" i="24"/>
  <c r="AN175" i="24"/>
  <c r="AM177" i="24"/>
  <c r="AN169" i="24"/>
  <c r="AM171" i="24"/>
  <c r="AN157" i="24"/>
  <c r="AM159" i="24"/>
  <c r="AM129" i="24"/>
  <c r="AN127" i="24"/>
  <c r="AM168" i="24"/>
  <c r="AN166" i="24"/>
  <c r="AN178" i="24"/>
  <c r="AM180" i="24"/>
  <c r="AN147" i="24"/>
  <c r="AM149" i="24"/>
  <c r="AM174" i="24"/>
  <c r="AN172" i="24"/>
  <c r="AU215" i="14"/>
  <c r="AP137" i="19" l="1"/>
  <c r="AP136" i="19"/>
  <c r="AP135" i="19"/>
  <c r="AR63" i="8"/>
  <c r="AQ96" i="19"/>
  <c r="AQ58" i="26"/>
  <c r="AQ88" i="26" s="1"/>
  <c r="AU325" i="14"/>
  <c r="AU321" i="14"/>
  <c r="AU328" i="14"/>
  <c r="AU324" i="14"/>
  <c r="AU320" i="14"/>
  <c r="AU323" i="14"/>
  <c r="AU327" i="14"/>
  <c r="AU319" i="14"/>
  <c r="AU322" i="14"/>
  <c r="AU316" i="14"/>
  <c r="AU317" i="14"/>
  <c r="AU318" i="14"/>
  <c r="AU315" i="14"/>
  <c r="AU326" i="14"/>
  <c r="AO150" i="19"/>
  <c r="AQ103" i="23"/>
  <c r="AP136" i="23"/>
  <c r="AP149" i="19"/>
  <c r="AU228" i="14"/>
  <c r="AQ102" i="23"/>
  <c r="AQ123" i="23" s="1"/>
  <c r="AQ135" i="23" s="1"/>
  <c r="AN129" i="24"/>
  <c r="AO127" i="24"/>
  <c r="AN187" i="24"/>
  <c r="AO185" i="24"/>
  <c r="AN162" i="24"/>
  <c r="AO160" i="24"/>
  <c r="AN117" i="24"/>
  <c r="AO115" i="24"/>
  <c r="AN184" i="24"/>
  <c r="AO182" i="24"/>
  <c r="AO166" i="24"/>
  <c r="AN168" i="24"/>
  <c r="AN123" i="24"/>
  <c r="AO121" i="24"/>
  <c r="AN152" i="24"/>
  <c r="AO150" i="24"/>
  <c r="AN155" i="24"/>
  <c r="AO153" i="24"/>
  <c r="AN120" i="24"/>
  <c r="AO118" i="24"/>
  <c r="AN143" i="24"/>
  <c r="AO141" i="24"/>
  <c r="AO172" i="24"/>
  <c r="AN174" i="24"/>
  <c r="AO124" i="24"/>
  <c r="AN126" i="24"/>
  <c r="AO178" i="24"/>
  <c r="AN180" i="24"/>
  <c r="AN171" i="24"/>
  <c r="AO169" i="24"/>
  <c r="AN136" i="24"/>
  <c r="AO134" i="24"/>
  <c r="AO147" i="24"/>
  <c r="AN149" i="24"/>
  <c r="AO157" i="24"/>
  <c r="AN159" i="24"/>
  <c r="AN177" i="24"/>
  <c r="AO175" i="24"/>
  <c r="AN133" i="24"/>
  <c r="AO131" i="24"/>
  <c r="AN146" i="24"/>
  <c r="AO144" i="24"/>
  <c r="AV215" i="14"/>
  <c r="AS63" i="8" l="1"/>
  <c r="AR58" i="26"/>
  <c r="AR88" i="26" s="1"/>
  <c r="AR96" i="19"/>
  <c r="AQ137" i="19"/>
  <c r="AQ136" i="19"/>
  <c r="AQ135" i="19"/>
  <c r="AV328" i="14"/>
  <c r="AV324" i="14"/>
  <c r="AV320" i="14"/>
  <c r="AV327" i="14"/>
  <c r="AV323" i="14"/>
  <c r="AV319" i="14"/>
  <c r="AV322" i="14"/>
  <c r="AV316" i="14"/>
  <c r="AV321" i="14"/>
  <c r="AV317" i="14"/>
  <c r="AV315" i="14"/>
  <c r="AV326" i="14"/>
  <c r="AV318" i="14"/>
  <c r="AV325" i="14"/>
  <c r="AP150" i="19"/>
  <c r="AR103" i="23"/>
  <c r="AQ136" i="23"/>
  <c r="AQ149" i="19"/>
  <c r="AV228" i="14"/>
  <c r="AP144" i="24"/>
  <c r="AO146" i="24"/>
  <c r="AO177" i="24"/>
  <c r="AP175" i="24"/>
  <c r="AO171" i="24"/>
  <c r="AP169" i="24"/>
  <c r="AP141" i="24"/>
  <c r="AO143" i="24"/>
  <c r="AP153" i="24"/>
  <c r="AO155" i="24"/>
  <c r="AP121" i="24"/>
  <c r="AO123" i="24"/>
  <c r="AO184" i="24"/>
  <c r="AP182" i="24"/>
  <c r="AP160" i="24"/>
  <c r="AO162" i="24"/>
  <c r="AO129" i="24"/>
  <c r="AP127" i="24"/>
  <c r="AO149" i="24"/>
  <c r="AP147" i="24"/>
  <c r="AO126" i="24"/>
  <c r="AP124" i="24"/>
  <c r="AO133" i="24"/>
  <c r="AP131" i="24"/>
  <c r="AO136" i="24"/>
  <c r="AP134" i="24"/>
  <c r="AO120" i="24"/>
  <c r="AP118" i="24"/>
  <c r="AP150" i="24"/>
  <c r="AO152" i="24"/>
  <c r="AO117" i="24"/>
  <c r="AP115" i="24"/>
  <c r="AP185" i="24"/>
  <c r="AO187" i="24"/>
  <c r="AP157" i="24"/>
  <c r="AO159" i="24"/>
  <c r="AO180" i="24"/>
  <c r="AP178" i="24"/>
  <c r="AO174" i="24"/>
  <c r="AP172" i="24"/>
  <c r="AP166" i="24"/>
  <c r="AO168" i="24"/>
  <c r="AR102" i="23"/>
  <c r="AR123" i="23" s="1"/>
  <c r="AR135" i="23" s="1"/>
  <c r="AW215" i="14"/>
  <c r="AR136" i="19" l="1"/>
  <c r="AR137" i="19"/>
  <c r="AR135" i="19"/>
  <c r="AT63" i="8"/>
  <c r="AS58" i="26"/>
  <c r="AS88" i="26" s="1"/>
  <c r="AS96" i="19"/>
  <c r="AW328" i="14"/>
  <c r="AW327" i="14"/>
  <c r="AW323" i="14"/>
  <c r="AW319" i="14"/>
  <c r="AW326" i="14"/>
  <c r="AW322" i="14"/>
  <c r="AW318" i="14"/>
  <c r="AW321" i="14"/>
  <c r="AW317" i="14"/>
  <c r="AW315" i="14"/>
  <c r="AW325" i="14"/>
  <c r="AW320" i="14"/>
  <c r="AW324" i="14"/>
  <c r="AW316" i="14"/>
  <c r="AQ150" i="19"/>
  <c r="AS103" i="23"/>
  <c r="AR136" i="23"/>
  <c r="AR149" i="19"/>
  <c r="AW228" i="14"/>
  <c r="AS102" i="23"/>
  <c r="AS123" i="23" s="1"/>
  <c r="AS135" i="23" s="1"/>
  <c r="AP174" i="24"/>
  <c r="AQ172" i="24"/>
  <c r="AQ115" i="24"/>
  <c r="AP117" i="24"/>
  <c r="AP120" i="24"/>
  <c r="AQ118" i="24"/>
  <c r="AP133" i="24"/>
  <c r="AQ131" i="24"/>
  <c r="AP149" i="24"/>
  <c r="AQ147" i="24"/>
  <c r="AP177" i="24"/>
  <c r="AQ175" i="24"/>
  <c r="AP159" i="24"/>
  <c r="AQ157" i="24"/>
  <c r="AP162" i="24"/>
  <c r="AQ160" i="24"/>
  <c r="AP123" i="24"/>
  <c r="AQ121" i="24"/>
  <c r="AP143" i="24"/>
  <c r="AQ141" i="24"/>
  <c r="AP180" i="24"/>
  <c r="AQ178" i="24"/>
  <c r="AQ134" i="24"/>
  <c r="AP136" i="24"/>
  <c r="AP126" i="24"/>
  <c r="AQ124" i="24"/>
  <c r="AQ127" i="24"/>
  <c r="AP129" i="24"/>
  <c r="AQ182" i="24"/>
  <c r="AP184" i="24"/>
  <c r="AP171" i="24"/>
  <c r="AQ169" i="24"/>
  <c r="AP168" i="24"/>
  <c r="AQ166" i="24"/>
  <c r="AP187" i="24"/>
  <c r="AQ185" i="24"/>
  <c r="AP152" i="24"/>
  <c r="AQ150" i="24"/>
  <c r="AQ153" i="24"/>
  <c r="AP155" i="24"/>
  <c r="AQ144" i="24"/>
  <c r="AP146" i="24"/>
  <c r="AX215" i="14"/>
  <c r="AU63" i="8" l="1"/>
  <c r="AT58" i="26"/>
  <c r="AT88" i="26" s="1"/>
  <c r="AT96" i="19"/>
  <c r="AS137" i="19"/>
  <c r="AS136" i="19"/>
  <c r="AS135" i="19"/>
  <c r="AX326" i="14"/>
  <c r="AX322" i="14"/>
  <c r="AX318" i="14"/>
  <c r="AX325" i="14"/>
  <c r="AX321" i="14"/>
  <c r="AX317" i="14"/>
  <c r="AX320" i="14"/>
  <c r="AX324" i="14"/>
  <c r="AX316" i="14"/>
  <c r="AX328" i="14"/>
  <c r="AX327" i="14"/>
  <c r="AX319" i="14"/>
  <c r="AX323" i="14"/>
  <c r="AX315" i="14"/>
  <c r="AR150" i="19"/>
  <c r="AT103" i="23"/>
  <c r="AS136" i="23"/>
  <c r="AS149" i="19"/>
  <c r="AX228" i="14"/>
  <c r="AQ152" i="24"/>
  <c r="AR150" i="24"/>
  <c r="AQ168" i="24"/>
  <c r="AR166" i="24"/>
  <c r="AR124" i="24"/>
  <c r="AQ126" i="24"/>
  <c r="AR178" i="24"/>
  <c r="AQ180" i="24"/>
  <c r="AQ123" i="24"/>
  <c r="AR121" i="24"/>
  <c r="AQ159" i="24"/>
  <c r="AR157" i="24"/>
  <c r="AR147" i="24"/>
  <c r="AQ149" i="24"/>
  <c r="AQ120" i="24"/>
  <c r="AR118" i="24"/>
  <c r="AR172" i="24"/>
  <c r="AQ174" i="24"/>
  <c r="AR144" i="24"/>
  <c r="AQ146" i="24"/>
  <c r="AR182" i="24"/>
  <c r="AQ184" i="24"/>
  <c r="AR185" i="24"/>
  <c r="AQ187" i="24"/>
  <c r="AR169" i="24"/>
  <c r="AQ171" i="24"/>
  <c r="AQ143" i="24"/>
  <c r="AR141" i="24"/>
  <c r="AR160" i="24"/>
  <c r="AQ162" i="24"/>
  <c r="AR175" i="24"/>
  <c r="AQ177" i="24"/>
  <c r="AR131" i="24"/>
  <c r="AQ133" i="24"/>
  <c r="AR153" i="24"/>
  <c r="AQ155" i="24"/>
  <c r="AR127" i="24"/>
  <c r="AQ129" i="24"/>
  <c r="AR134" i="24"/>
  <c r="AQ136" i="24"/>
  <c r="AR115" i="24"/>
  <c r="AQ117" i="24"/>
  <c r="AT102" i="23"/>
  <c r="AT123" i="23" s="1"/>
  <c r="AT135" i="23" s="1"/>
  <c r="AY215" i="14"/>
  <c r="AT137" i="19" l="1"/>
  <c r="AT136" i="19"/>
  <c r="AT135" i="19"/>
  <c r="AV63" i="8"/>
  <c r="AU96" i="19"/>
  <c r="AU58" i="26"/>
  <c r="AU88" i="26" s="1"/>
  <c r="AY325" i="14"/>
  <c r="AY321" i="14"/>
  <c r="AY324" i="14"/>
  <c r="AY320" i="14"/>
  <c r="AY328" i="14"/>
  <c r="AY327" i="14"/>
  <c r="AY319" i="14"/>
  <c r="AY326" i="14"/>
  <c r="AY318" i="14"/>
  <c r="AY316" i="14"/>
  <c r="AY323" i="14"/>
  <c r="AY317" i="14"/>
  <c r="AY315" i="14"/>
  <c r="AY322" i="14"/>
  <c r="AS150" i="19"/>
  <c r="AU103" i="23"/>
  <c r="AT136" i="23"/>
  <c r="AT149" i="19"/>
  <c r="AY228" i="14"/>
  <c r="AS141" i="24"/>
  <c r="AR143" i="24"/>
  <c r="AR120" i="24"/>
  <c r="AS118" i="24"/>
  <c r="AR159" i="24"/>
  <c r="AS157" i="24"/>
  <c r="AS166" i="24"/>
  <c r="AR168" i="24"/>
  <c r="AU102" i="23"/>
  <c r="AU123" i="23" s="1"/>
  <c r="AU135" i="23" s="1"/>
  <c r="AS134" i="24"/>
  <c r="AR136" i="24"/>
  <c r="AR155" i="24"/>
  <c r="AS153" i="24"/>
  <c r="AS175" i="24"/>
  <c r="AR177" i="24"/>
  <c r="AR187" i="24"/>
  <c r="AS185" i="24"/>
  <c r="AS144" i="24"/>
  <c r="AR146" i="24"/>
  <c r="AS178" i="24"/>
  <c r="AR180" i="24"/>
  <c r="AR123" i="24"/>
  <c r="AS121" i="24"/>
  <c r="AR152" i="24"/>
  <c r="AS150" i="24"/>
  <c r="AR117" i="24"/>
  <c r="AS115" i="24"/>
  <c r="AR129" i="24"/>
  <c r="AS127" i="24"/>
  <c r="AS131" i="24"/>
  <c r="AR133" i="24"/>
  <c r="AR162" i="24"/>
  <c r="AS160" i="24"/>
  <c r="AR171" i="24"/>
  <c r="AS169" i="24"/>
  <c r="AS182" i="24"/>
  <c r="AR184" i="24"/>
  <c r="AS172" i="24"/>
  <c r="AR174" i="24"/>
  <c r="AS147" i="24"/>
  <c r="AR149" i="24"/>
  <c r="AS124" i="24"/>
  <c r="AR126" i="24"/>
  <c r="AZ215" i="14"/>
  <c r="AW63" i="8" l="1"/>
  <c r="AV58" i="26"/>
  <c r="AV88" i="26" s="1"/>
  <c r="AV96" i="19"/>
  <c r="AU137" i="19"/>
  <c r="AU136" i="19"/>
  <c r="AU135" i="19"/>
  <c r="AZ328" i="14"/>
  <c r="AZ324" i="14"/>
  <c r="AZ320" i="14"/>
  <c r="AZ327" i="14"/>
  <c r="AZ323" i="14"/>
  <c r="AZ319" i="14"/>
  <c r="AZ326" i="14"/>
  <c r="AZ318" i="14"/>
  <c r="AZ316" i="14"/>
  <c r="AZ322" i="14"/>
  <c r="AZ317" i="14"/>
  <c r="AZ325" i="14"/>
  <c r="AZ315" i="14"/>
  <c r="AZ321" i="14"/>
  <c r="AT150" i="19"/>
  <c r="AV103" i="23"/>
  <c r="AU136" i="23"/>
  <c r="AU149" i="19"/>
  <c r="AZ228" i="14"/>
  <c r="AS149" i="24"/>
  <c r="AT147" i="24"/>
  <c r="AT169" i="24"/>
  <c r="AS171" i="24"/>
  <c r="AT115" i="24"/>
  <c r="AS117" i="24"/>
  <c r="AT121" i="24"/>
  <c r="AS123" i="24"/>
  <c r="AT118" i="24"/>
  <c r="AS120" i="24"/>
  <c r="AT124" i="24"/>
  <c r="AS126" i="24"/>
  <c r="AS174" i="24"/>
  <c r="AT172" i="24"/>
  <c r="AS133" i="24"/>
  <c r="AT131" i="24"/>
  <c r="AS146" i="24"/>
  <c r="AT144" i="24"/>
  <c r="AT175" i="24"/>
  <c r="AS177" i="24"/>
  <c r="AS136" i="24"/>
  <c r="AT134" i="24"/>
  <c r="AS168" i="24"/>
  <c r="AT166" i="24"/>
  <c r="AT160" i="24"/>
  <c r="AS162" i="24"/>
  <c r="AS129" i="24"/>
  <c r="AT127" i="24"/>
  <c r="AS152" i="24"/>
  <c r="AT150" i="24"/>
  <c r="AT185" i="24"/>
  <c r="AS187" i="24"/>
  <c r="AT153" i="24"/>
  <c r="AS155" i="24"/>
  <c r="AV102" i="23"/>
  <c r="AV123" i="23" s="1"/>
  <c r="AV135" i="23" s="1"/>
  <c r="AT157" i="24"/>
  <c r="AS159" i="24"/>
  <c r="AS184" i="24"/>
  <c r="AT182" i="24"/>
  <c r="AT178" i="24"/>
  <c r="AS180" i="24"/>
  <c r="AS143" i="24"/>
  <c r="AT141" i="24"/>
  <c r="BA215" i="14"/>
  <c r="AV137" i="19" l="1"/>
  <c r="AV136" i="19"/>
  <c r="AV135" i="19"/>
  <c r="AX63" i="8"/>
  <c r="AW96" i="19"/>
  <c r="AW58" i="26"/>
  <c r="AW88" i="26" s="1"/>
  <c r="BA327" i="14"/>
  <c r="BA323" i="14"/>
  <c r="BA319" i="14"/>
  <c r="BA328" i="14"/>
  <c r="BA326" i="14"/>
  <c r="BA322" i="14"/>
  <c r="BA318" i="14"/>
  <c r="BA325" i="14"/>
  <c r="BA315" i="14"/>
  <c r="BA324" i="14"/>
  <c r="BA317" i="14"/>
  <c r="BA321" i="14"/>
  <c r="BA320" i="14"/>
  <c r="BA316" i="14"/>
  <c r="AU150" i="19"/>
  <c r="AW103" i="23"/>
  <c r="AV136" i="23"/>
  <c r="AV149" i="19"/>
  <c r="BA228" i="14"/>
  <c r="AT143" i="24"/>
  <c r="AU141" i="24"/>
  <c r="AT184" i="24"/>
  <c r="AU182" i="24"/>
  <c r="AW102" i="23"/>
  <c r="AW123" i="23" s="1"/>
  <c r="AW135" i="23" s="1"/>
  <c r="AT129" i="24"/>
  <c r="AU127" i="24"/>
  <c r="AT168" i="24"/>
  <c r="AU166" i="24"/>
  <c r="AT133" i="24"/>
  <c r="AU131" i="24"/>
  <c r="AU185" i="24"/>
  <c r="AT187" i="24"/>
  <c r="AT177" i="24"/>
  <c r="AU175" i="24"/>
  <c r="AT126" i="24"/>
  <c r="AU124" i="24"/>
  <c r="AU121" i="24"/>
  <c r="AT123" i="24"/>
  <c r="AT171" i="24"/>
  <c r="AU169" i="24"/>
  <c r="AU150" i="24"/>
  <c r="AT152" i="24"/>
  <c r="AU134" i="24"/>
  <c r="AT136" i="24"/>
  <c r="AU144" i="24"/>
  <c r="AT146" i="24"/>
  <c r="AT174" i="24"/>
  <c r="AU172" i="24"/>
  <c r="AU147" i="24"/>
  <c r="AT149" i="24"/>
  <c r="AT180" i="24"/>
  <c r="AU178" i="24"/>
  <c r="AT159" i="24"/>
  <c r="AU157" i="24"/>
  <c r="AT155" i="24"/>
  <c r="AU153" i="24"/>
  <c r="AU160" i="24"/>
  <c r="AT162" i="24"/>
  <c r="AU118" i="24"/>
  <c r="AT120" i="24"/>
  <c r="AU115" i="24"/>
  <c r="AT117" i="24"/>
  <c r="BB215" i="14"/>
  <c r="AY63" i="8" l="1"/>
  <c r="AX58" i="26"/>
  <c r="AX88" i="26" s="1"/>
  <c r="AX96" i="19"/>
  <c r="AW137" i="19"/>
  <c r="AW136" i="19"/>
  <c r="AW135" i="19"/>
  <c r="BB328" i="14"/>
  <c r="BB326" i="14"/>
  <c r="BB322" i="14"/>
  <c r="BB318" i="14"/>
  <c r="BB325" i="14"/>
  <c r="BB321" i="14"/>
  <c r="BB317" i="14"/>
  <c r="BB324" i="14"/>
  <c r="BB320" i="14"/>
  <c r="BB323" i="14"/>
  <c r="BB316" i="14"/>
  <c r="BB327" i="14"/>
  <c r="BB315" i="14"/>
  <c r="BB319" i="14"/>
  <c r="AV150" i="19"/>
  <c r="AX103" i="23"/>
  <c r="AW136" i="23"/>
  <c r="AW149" i="19"/>
  <c r="BB228" i="14"/>
  <c r="AV157" i="24"/>
  <c r="AU159" i="24"/>
  <c r="AU177" i="24"/>
  <c r="AV175" i="24"/>
  <c r="AU133" i="24"/>
  <c r="AV131" i="24"/>
  <c r="AU129" i="24"/>
  <c r="AV127" i="24"/>
  <c r="AV182" i="24"/>
  <c r="AU184" i="24"/>
  <c r="AV115" i="24"/>
  <c r="AU117" i="24"/>
  <c r="AV160" i="24"/>
  <c r="AU162" i="24"/>
  <c r="AV147" i="24"/>
  <c r="AU149" i="24"/>
  <c r="AU146" i="24"/>
  <c r="AV144" i="24"/>
  <c r="AU152" i="24"/>
  <c r="AV150" i="24"/>
  <c r="AU123" i="24"/>
  <c r="AV121" i="24"/>
  <c r="AV153" i="24"/>
  <c r="AU155" i="24"/>
  <c r="AU180" i="24"/>
  <c r="AV178" i="24"/>
  <c r="AU174" i="24"/>
  <c r="AV172" i="24"/>
  <c r="AV169" i="24"/>
  <c r="AU171" i="24"/>
  <c r="AV124" i="24"/>
  <c r="AU126" i="24"/>
  <c r="AU168" i="24"/>
  <c r="AV166" i="24"/>
  <c r="AX102" i="23"/>
  <c r="AX123" i="23" s="1"/>
  <c r="AX135" i="23" s="1"/>
  <c r="AU143" i="24"/>
  <c r="AV141" i="24"/>
  <c r="AU120" i="24"/>
  <c r="AV118" i="24"/>
  <c r="AU136" i="24"/>
  <c r="AV134" i="24"/>
  <c r="AV185" i="24"/>
  <c r="AU187" i="24"/>
  <c r="BC215" i="14"/>
  <c r="AX136" i="19" l="1"/>
  <c r="AX137" i="19"/>
  <c r="AX135" i="19"/>
  <c r="AZ63" i="8"/>
  <c r="AY96" i="19"/>
  <c r="AY58" i="26"/>
  <c r="AY88" i="26" s="1"/>
  <c r="BC325" i="14"/>
  <c r="BC321" i="14"/>
  <c r="BC324" i="14"/>
  <c r="BC320" i="14"/>
  <c r="BC323" i="14"/>
  <c r="BC317" i="14"/>
  <c r="BC322" i="14"/>
  <c r="BC316" i="14"/>
  <c r="BC327" i="14"/>
  <c r="BC319" i="14"/>
  <c r="BC315" i="14"/>
  <c r="BC318" i="14"/>
  <c r="BC328" i="14"/>
  <c r="BC326" i="14"/>
  <c r="AW150" i="19"/>
  <c r="AY103" i="23"/>
  <c r="AX136" i="23"/>
  <c r="BC228" i="14"/>
  <c r="AW118" i="24"/>
  <c r="AV120" i="24"/>
  <c r="AY102" i="23"/>
  <c r="AY123" i="23" s="1"/>
  <c r="AY135" i="23" s="1"/>
  <c r="AV174" i="24"/>
  <c r="AW172" i="24"/>
  <c r="AV152" i="24"/>
  <c r="AW150" i="24"/>
  <c r="AV129" i="24"/>
  <c r="AW127" i="24"/>
  <c r="AV177" i="24"/>
  <c r="AW175" i="24"/>
  <c r="AW185" i="24"/>
  <c r="AV187" i="24"/>
  <c r="AW124" i="24"/>
  <c r="AV126" i="24"/>
  <c r="AW153" i="24"/>
  <c r="AV155" i="24"/>
  <c r="AV149" i="24"/>
  <c r="AW147" i="24"/>
  <c r="AW115" i="24"/>
  <c r="AV117" i="24"/>
  <c r="AV136" i="24"/>
  <c r="AW134" i="24"/>
  <c r="AW141" i="24"/>
  <c r="AV143" i="24"/>
  <c r="AV168" i="24"/>
  <c r="AW166" i="24"/>
  <c r="AV180" i="24"/>
  <c r="AW178" i="24"/>
  <c r="AV123" i="24"/>
  <c r="AW121" i="24"/>
  <c r="AV146" i="24"/>
  <c r="AW144" i="24"/>
  <c r="AW131" i="24"/>
  <c r="AV133" i="24"/>
  <c r="AW169" i="24"/>
  <c r="AV171" i="24"/>
  <c r="AV162" i="24"/>
  <c r="AW160" i="24"/>
  <c r="AW182" i="24"/>
  <c r="AV184" i="24"/>
  <c r="AV159" i="24"/>
  <c r="AW157" i="24"/>
  <c r="BD215" i="14"/>
  <c r="AX149" i="19" l="1"/>
  <c r="AZ58" i="26"/>
  <c r="AZ88" i="26" s="1"/>
  <c r="AZ96" i="19"/>
  <c r="BA63" i="8"/>
  <c r="AY137" i="19"/>
  <c r="AY136" i="19"/>
  <c r="AY135" i="19"/>
  <c r="AY149" i="19" s="1"/>
  <c r="BD328" i="14"/>
  <c r="BD324" i="14"/>
  <c r="BD320" i="14"/>
  <c r="BD327" i="14"/>
  <c r="BD323" i="14"/>
  <c r="BD319" i="14"/>
  <c r="BD322" i="14"/>
  <c r="BD316" i="14"/>
  <c r="BD326" i="14"/>
  <c r="BD318" i="14"/>
  <c r="BD321" i="14"/>
  <c r="BD315" i="14"/>
  <c r="BD317" i="14"/>
  <c r="BD325" i="14"/>
  <c r="AX150" i="19"/>
  <c r="AY136" i="23"/>
  <c r="AZ103" i="23"/>
  <c r="BD228" i="14"/>
  <c r="AW159" i="24"/>
  <c r="AX157" i="24"/>
  <c r="AX160" i="24"/>
  <c r="AW162" i="24"/>
  <c r="AX121" i="24"/>
  <c r="AW123" i="24"/>
  <c r="AX166" i="24"/>
  <c r="AW168" i="24"/>
  <c r="AW136" i="24"/>
  <c r="AX134" i="24"/>
  <c r="AW149" i="24"/>
  <c r="AX147" i="24"/>
  <c r="AW177" i="24"/>
  <c r="AX175" i="24"/>
  <c r="AX150" i="24"/>
  <c r="AW152" i="24"/>
  <c r="AW133" i="24"/>
  <c r="AX131" i="24"/>
  <c r="AW126" i="24"/>
  <c r="AX124" i="24"/>
  <c r="AZ102" i="23"/>
  <c r="AZ123" i="23" s="1"/>
  <c r="AZ135" i="23" s="1"/>
  <c r="AW146" i="24"/>
  <c r="AX144" i="24"/>
  <c r="AW180" i="24"/>
  <c r="AX178" i="24"/>
  <c r="AW129" i="24"/>
  <c r="AX127" i="24"/>
  <c r="AW174" i="24"/>
  <c r="AX172" i="24"/>
  <c r="AW184" i="24"/>
  <c r="AX182" i="24"/>
  <c r="AW171" i="24"/>
  <c r="AX169" i="24"/>
  <c r="AX141" i="24"/>
  <c r="AW143" i="24"/>
  <c r="AW117" i="24"/>
  <c r="AX115" i="24"/>
  <c r="AW155" i="24"/>
  <c r="AX153" i="24"/>
  <c r="AX185" i="24"/>
  <c r="AW187" i="24"/>
  <c r="AX118" i="24"/>
  <c r="AW120" i="24"/>
  <c r="BE215" i="14"/>
  <c r="BA58" i="26" l="1"/>
  <c r="BA88" i="26" s="1"/>
  <c r="BA96" i="19"/>
  <c r="BB63" i="8"/>
  <c r="AZ136" i="19"/>
  <c r="AZ149" i="19" s="1"/>
  <c r="AZ137" i="19"/>
  <c r="AZ135" i="19"/>
  <c r="BE327" i="14"/>
  <c r="BE323" i="14"/>
  <c r="BE319" i="14"/>
  <c r="BE326" i="14"/>
  <c r="BE322" i="14"/>
  <c r="BE318" i="14"/>
  <c r="BE321" i="14"/>
  <c r="BE315" i="14"/>
  <c r="BE320" i="14"/>
  <c r="BE328" i="14"/>
  <c r="BE325" i="14"/>
  <c r="BE317" i="14"/>
  <c r="BE324" i="14"/>
  <c r="BE316" i="14"/>
  <c r="AY150" i="19"/>
  <c r="AZ136" i="23"/>
  <c r="BA103" i="23"/>
  <c r="BE228" i="14"/>
  <c r="AX155" i="24"/>
  <c r="AY153" i="24"/>
  <c r="AX184" i="24"/>
  <c r="AY182" i="24"/>
  <c r="AX129" i="24"/>
  <c r="AY127" i="24"/>
  <c r="AX146" i="24"/>
  <c r="AY144" i="24"/>
  <c r="AX126" i="24"/>
  <c r="AY124" i="24"/>
  <c r="AX149" i="24"/>
  <c r="AY147" i="24"/>
  <c r="AX120" i="24"/>
  <c r="AY118" i="24"/>
  <c r="AX143" i="24"/>
  <c r="AY141" i="24"/>
  <c r="AY150" i="24"/>
  <c r="AX152" i="24"/>
  <c r="AY166" i="24"/>
  <c r="AX168" i="24"/>
  <c r="AX162" i="24"/>
  <c r="AY160" i="24"/>
  <c r="AY115" i="24"/>
  <c r="AX117" i="24"/>
  <c r="AX171" i="24"/>
  <c r="AY169" i="24"/>
  <c r="AY172" i="24"/>
  <c r="AX174" i="24"/>
  <c r="AY178" i="24"/>
  <c r="AX180" i="24"/>
  <c r="BA102" i="23"/>
  <c r="BA123" i="23" s="1"/>
  <c r="BA135" i="23" s="1"/>
  <c r="AX133" i="24"/>
  <c r="AY131" i="24"/>
  <c r="AX177" i="24"/>
  <c r="AY175" i="24"/>
  <c r="AY134" i="24"/>
  <c r="AX136" i="24"/>
  <c r="AX159" i="24"/>
  <c r="AY157" i="24"/>
  <c r="AX187" i="24"/>
  <c r="AY185" i="24"/>
  <c r="AX123" i="24"/>
  <c r="AY121" i="24"/>
  <c r="BF215" i="14"/>
  <c r="BB58" i="26" l="1"/>
  <c r="BB88" i="26" s="1"/>
  <c r="BB96" i="19"/>
  <c r="BC63" i="8"/>
  <c r="BA136" i="19"/>
  <c r="BA149" i="19" s="1"/>
  <c r="BA137" i="19"/>
  <c r="BA135" i="19"/>
  <c r="BF327" i="14"/>
  <c r="BF326" i="14"/>
  <c r="BF322" i="14"/>
  <c r="BF318" i="14"/>
  <c r="BF328" i="14"/>
  <c r="BF325" i="14"/>
  <c r="BF321" i="14"/>
  <c r="BF317" i="14"/>
  <c r="BF320" i="14"/>
  <c r="BF316" i="14"/>
  <c r="BF319" i="14"/>
  <c r="BF324" i="14"/>
  <c r="BF315" i="14"/>
  <c r="BF323" i="14"/>
  <c r="AZ150" i="19"/>
  <c r="BA136" i="23"/>
  <c r="BB103" i="23"/>
  <c r="BF228" i="14"/>
  <c r="AY123" i="24"/>
  <c r="AZ121" i="24"/>
  <c r="AZ157" i="24"/>
  <c r="AY159" i="24"/>
  <c r="AY177" i="24"/>
  <c r="AZ175" i="24"/>
  <c r="AZ141" i="24"/>
  <c r="AY143" i="24"/>
  <c r="AZ147" i="24"/>
  <c r="AY149" i="24"/>
  <c r="AZ144" i="24"/>
  <c r="AY146" i="24"/>
  <c r="AY184" i="24"/>
  <c r="AZ182" i="24"/>
  <c r="BB102" i="23"/>
  <c r="BB123" i="23" s="1"/>
  <c r="BB135" i="23" s="1"/>
  <c r="AY174" i="24"/>
  <c r="AZ172" i="24"/>
  <c r="AY117" i="24"/>
  <c r="AZ115" i="24"/>
  <c r="AZ166" i="24"/>
  <c r="AY168" i="24"/>
  <c r="AY187" i="24"/>
  <c r="AZ185" i="24"/>
  <c r="AZ131" i="24"/>
  <c r="AY133" i="24"/>
  <c r="AZ169" i="24"/>
  <c r="AY171" i="24"/>
  <c r="AY162" i="24"/>
  <c r="AZ160" i="24"/>
  <c r="AZ118" i="24"/>
  <c r="AY120" i="24"/>
  <c r="AY126" i="24"/>
  <c r="AZ124" i="24"/>
  <c r="AY129" i="24"/>
  <c r="AZ127" i="24"/>
  <c r="AY155" i="24"/>
  <c r="AZ153" i="24"/>
  <c r="AY136" i="24"/>
  <c r="AZ134" i="24"/>
  <c r="AY180" i="24"/>
  <c r="AZ178" i="24"/>
  <c r="AY152" i="24"/>
  <c r="AZ150" i="24"/>
  <c r="BG215" i="14"/>
  <c r="BC96" i="19" l="1"/>
  <c r="BC58" i="26"/>
  <c r="BC88" i="26" s="1"/>
  <c r="BD63" i="8"/>
  <c r="BB136" i="19"/>
  <c r="BB149" i="19" s="1"/>
  <c r="BB137" i="19"/>
  <c r="BB135" i="19"/>
  <c r="BG328" i="14"/>
  <c r="BG325" i="14"/>
  <c r="BG321" i="14"/>
  <c r="BG317" i="14"/>
  <c r="BG324" i="14"/>
  <c r="BG320" i="14"/>
  <c r="BG319" i="14"/>
  <c r="BG323" i="14"/>
  <c r="BG327" i="14"/>
  <c r="BG326" i="14"/>
  <c r="BG318" i="14"/>
  <c r="BG316" i="14"/>
  <c r="BG322" i="14"/>
  <c r="BG315" i="14"/>
  <c r="BA150" i="19"/>
  <c r="BB136" i="23"/>
  <c r="BC103" i="23"/>
  <c r="BG228" i="14"/>
  <c r="AZ152" i="24"/>
  <c r="BA150" i="24"/>
  <c r="AZ136" i="24"/>
  <c r="BA134" i="24"/>
  <c r="AZ129" i="24"/>
  <c r="BA127" i="24"/>
  <c r="AZ187" i="24"/>
  <c r="BA185" i="24"/>
  <c r="AZ117" i="24"/>
  <c r="BA115" i="24"/>
  <c r="BA118" i="24"/>
  <c r="AZ120" i="24"/>
  <c r="BA169" i="24"/>
  <c r="AZ171" i="24"/>
  <c r="BC102" i="23"/>
  <c r="BC123" i="23" s="1"/>
  <c r="BC135" i="23" s="1"/>
  <c r="BA144" i="24"/>
  <c r="AZ146" i="24"/>
  <c r="BA141" i="24"/>
  <c r="AZ143" i="24"/>
  <c r="AZ159" i="24"/>
  <c r="BA157" i="24"/>
  <c r="AZ180" i="24"/>
  <c r="BA178" i="24"/>
  <c r="BA153" i="24"/>
  <c r="AZ155" i="24"/>
  <c r="AZ126" i="24"/>
  <c r="BA124" i="24"/>
  <c r="AZ162" i="24"/>
  <c r="BA160" i="24"/>
  <c r="AZ174" i="24"/>
  <c r="BA172" i="24"/>
  <c r="BA182" i="24"/>
  <c r="AZ184" i="24"/>
  <c r="AZ177" i="24"/>
  <c r="BA175" i="24"/>
  <c r="AZ123" i="24"/>
  <c r="BA121" i="24"/>
  <c r="AZ133" i="24"/>
  <c r="BA131" i="24"/>
  <c r="BA166" i="24"/>
  <c r="AZ168" i="24"/>
  <c r="AZ149" i="24"/>
  <c r="BA147" i="24"/>
  <c r="BH215" i="14"/>
  <c r="BD96" i="19" l="1"/>
  <c r="BD58" i="26"/>
  <c r="BD88" i="26" s="1"/>
  <c r="BE63" i="8"/>
  <c r="BC136" i="19"/>
  <c r="BC149" i="19" s="1"/>
  <c r="BC137" i="19"/>
  <c r="BC135" i="19"/>
  <c r="BH328" i="14"/>
  <c r="BH324" i="14"/>
  <c r="BH320" i="14"/>
  <c r="BH323" i="14"/>
  <c r="BH319" i="14"/>
  <c r="BH327" i="14"/>
  <c r="BH326" i="14"/>
  <c r="BH318" i="14"/>
  <c r="BH316" i="14"/>
  <c r="BH325" i="14"/>
  <c r="BH317" i="14"/>
  <c r="BH315" i="14"/>
  <c r="BH322" i="14"/>
  <c r="BH321" i="14"/>
  <c r="BB150" i="19"/>
  <c r="BC136" i="23"/>
  <c r="BD103" i="23"/>
  <c r="BH228" i="14"/>
  <c r="BB147" i="24"/>
  <c r="BA149" i="24"/>
  <c r="BA133" i="24"/>
  <c r="BB131" i="24"/>
  <c r="BB175" i="24"/>
  <c r="BA177" i="24"/>
  <c r="BA174" i="24"/>
  <c r="BB172" i="24"/>
  <c r="BB124" i="24"/>
  <c r="BA126" i="24"/>
  <c r="BA180" i="24"/>
  <c r="BB178" i="24"/>
  <c r="BA187" i="24"/>
  <c r="BB185" i="24"/>
  <c r="BA136" i="24"/>
  <c r="BB134" i="24"/>
  <c r="BB141" i="24"/>
  <c r="BA143" i="24"/>
  <c r="BD102" i="23"/>
  <c r="BD123" i="23" s="1"/>
  <c r="BD135" i="23" s="1"/>
  <c r="BB118" i="24"/>
  <c r="BA120" i="24"/>
  <c r="BB121" i="24"/>
  <c r="BA123" i="24"/>
  <c r="BA162" i="24"/>
  <c r="BB160" i="24"/>
  <c r="BB157" i="24"/>
  <c r="BA159" i="24"/>
  <c r="BA117" i="24"/>
  <c r="BB115" i="24"/>
  <c r="BA129" i="24"/>
  <c r="BB127" i="24"/>
  <c r="BA152" i="24"/>
  <c r="BB150" i="24"/>
  <c r="BA168" i="24"/>
  <c r="BB166" i="24"/>
  <c r="BA184" i="24"/>
  <c r="BB182" i="24"/>
  <c r="BA155" i="24"/>
  <c r="BB153" i="24"/>
  <c r="BA146" i="24"/>
  <c r="BB144" i="24"/>
  <c r="BB169" i="24"/>
  <c r="BA171" i="24"/>
  <c r="BI215" i="14"/>
  <c r="BE96" i="19" l="1"/>
  <c r="BE58" i="26"/>
  <c r="BE88" i="26" s="1"/>
  <c r="BF63" i="8"/>
  <c r="BD137" i="19"/>
  <c r="BD136" i="19"/>
  <c r="BD135" i="19"/>
  <c r="BD149" i="19" s="1"/>
  <c r="BI327" i="14"/>
  <c r="BI323" i="14"/>
  <c r="BI319" i="14"/>
  <c r="BI326" i="14"/>
  <c r="BI322" i="14"/>
  <c r="BI318" i="14"/>
  <c r="BI325" i="14"/>
  <c r="BI317" i="14"/>
  <c r="BI315" i="14"/>
  <c r="BI321" i="14"/>
  <c r="BI328" i="14"/>
  <c r="BI324" i="14"/>
  <c r="BI320" i="14"/>
  <c r="BI316" i="14"/>
  <c r="BC150" i="19"/>
  <c r="BD136" i="23"/>
  <c r="BE103" i="23"/>
  <c r="BI228" i="14"/>
  <c r="BB155" i="24"/>
  <c r="BC153" i="24"/>
  <c r="BC166" i="24"/>
  <c r="BB168" i="24"/>
  <c r="BB129" i="24"/>
  <c r="BC127" i="24"/>
  <c r="BE102" i="23"/>
  <c r="BE123" i="23" s="1"/>
  <c r="BE135" i="23" s="1"/>
  <c r="BC134" i="24"/>
  <c r="BB136" i="24"/>
  <c r="BB180" i="24"/>
  <c r="BC178" i="24"/>
  <c r="BC172" i="24"/>
  <c r="BB174" i="24"/>
  <c r="BC131" i="24"/>
  <c r="BB133" i="24"/>
  <c r="BC169" i="24"/>
  <c r="BB171" i="24"/>
  <c r="BC157" i="24"/>
  <c r="BB159" i="24"/>
  <c r="BC121" i="24"/>
  <c r="BB123" i="24"/>
  <c r="BC144" i="24"/>
  <c r="BB146" i="24"/>
  <c r="BC182" i="24"/>
  <c r="BB184" i="24"/>
  <c r="BC150" i="24"/>
  <c r="BB152" i="24"/>
  <c r="BC115" i="24"/>
  <c r="BB117" i="24"/>
  <c r="BC160" i="24"/>
  <c r="BB162" i="24"/>
  <c r="BC185" i="24"/>
  <c r="BB187" i="24"/>
  <c r="BB120" i="24"/>
  <c r="BC118" i="24"/>
  <c r="BB143" i="24"/>
  <c r="BC141" i="24"/>
  <c r="BB126" i="24"/>
  <c r="BC124" i="24"/>
  <c r="BC175" i="24"/>
  <c r="BB177" i="24"/>
  <c r="BB149" i="24"/>
  <c r="BC147" i="24"/>
  <c r="BF58" i="26" l="1"/>
  <c r="BF88" i="26" s="1"/>
  <c r="BF96" i="19"/>
  <c r="BG63" i="8"/>
  <c r="BE136" i="19"/>
  <c r="BE149" i="19" s="1"/>
  <c r="BE137" i="19"/>
  <c r="BE135" i="19"/>
  <c r="BD150" i="19"/>
  <c r="BE136" i="23"/>
  <c r="BF103" i="23"/>
  <c r="BD147" i="24"/>
  <c r="BC149" i="24"/>
  <c r="BC126" i="24"/>
  <c r="BD124" i="24"/>
  <c r="BD118" i="24"/>
  <c r="BC120" i="24"/>
  <c r="BD178" i="24"/>
  <c r="BC180" i="24"/>
  <c r="BC177" i="24"/>
  <c r="BD175" i="24"/>
  <c r="BD160" i="24"/>
  <c r="BC162" i="24"/>
  <c r="BC152" i="24"/>
  <c r="BD150" i="24"/>
  <c r="BD144" i="24"/>
  <c r="BC146" i="24"/>
  <c r="BD157" i="24"/>
  <c r="BC159" i="24"/>
  <c r="BD131" i="24"/>
  <c r="BC133" i="24"/>
  <c r="BF102" i="23"/>
  <c r="BF123" i="23" s="1"/>
  <c r="BF135" i="23" s="1"/>
  <c r="BC168" i="24"/>
  <c r="BD166" i="24"/>
  <c r="BD141" i="24"/>
  <c r="BC143" i="24"/>
  <c r="BC129" i="24"/>
  <c r="BD127" i="24"/>
  <c r="BC155" i="24"/>
  <c r="BD153" i="24"/>
  <c r="BD185" i="24"/>
  <c r="BC187" i="24"/>
  <c r="BC117" i="24"/>
  <c r="BD115" i="24"/>
  <c r="BD182" i="24"/>
  <c r="BC184" i="24"/>
  <c r="BC123" i="24"/>
  <c r="BD121" i="24"/>
  <c r="BD169" i="24"/>
  <c r="BC171" i="24"/>
  <c r="BC174" i="24"/>
  <c r="BD172" i="24"/>
  <c r="BD134" i="24"/>
  <c r="BC136" i="24"/>
  <c r="BF137" i="19" l="1"/>
  <c r="BF136" i="19"/>
  <c r="BF135" i="19"/>
  <c r="BF149" i="19" s="1"/>
  <c r="BG96" i="19"/>
  <c r="BG58" i="26"/>
  <c r="BG88" i="26" s="1"/>
  <c r="BH63" i="8"/>
  <c r="BE150" i="19"/>
  <c r="BF136" i="23"/>
  <c r="BG103" i="23"/>
  <c r="BD129" i="24"/>
  <c r="BE127" i="24"/>
  <c r="BE166" i="24"/>
  <c r="BD168" i="24"/>
  <c r="BD126" i="24"/>
  <c r="BE124" i="24"/>
  <c r="BE134" i="24"/>
  <c r="BD136" i="24"/>
  <c r="BE169" i="24"/>
  <c r="BD171" i="24"/>
  <c r="BD184" i="24"/>
  <c r="BE182" i="24"/>
  <c r="BD187" i="24"/>
  <c r="BE185" i="24"/>
  <c r="BD133" i="24"/>
  <c r="BE131" i="24"/>
  <c r="BE144" i="24"/>
  <c r="BD146" i="24"/>
  <c r="BE160" i="24"/>
  <c r="BD162" i="24"/>
  <c r="BD180" i="24"/>
  <c r="BE178" i="24"/>
  <c r="BD174" i="24"/>
  <c r="BE172" i="24"/>
  <c r="BD123" i="24"/>
  <c r="BE121" i="24"/>
  <c r="BD117" i="24"/>
  <c r="BE115" i="24"/>
  <c r="BD155" i="24"/>
  <c r="BE153" i="24"/>
  <c r="BG102" i="23"/>
  <c r="BG123" i="23" s="1"/>
  <c r="BG135" i="23" s="1"/>
  <c r="BD152" i="24"/>
  <c r="BE150" i="24"/>
  <c r="BD177" i="24"/>
  <c r="BE175" i="24"/>
  <c r="BD143" i="24"/>
  <c r="BE141" i="24"/>
  <c r="BD159" i="24"/>
  <c r="BE157" i="24"/>
  <c r="BD120" i="24"/>
  <c r="BE118" i="24"/>
  <c r="BD149" i="24"/>
  <c r="BE147" i="24"/>
  <c r="BG137" i="19" l="1"/>
  <c r="BG136" i="19"/>
  <c r="BG135" i="19"/>
  <c r="BG149" i="19" s="1"/>
  <c r="BI63" i="8"/>
  <c r="BH58" i="26"/>
  <c r="BH88" i="26" s="1"/>
  <c r="BH96" i="19"/>
  <c r="BF150" i="19"/>
  <c r="BG136" i="23"/>
  <c r="BH103" i="23"/>
  <c r="BF147" i="24"/>
  <c r="BE149" i="24"/>
  <c r="BF157" i="24"/>
  <c r="BE159" i="24"/>
  <c r="BF175" i="24"/>
  <c r="BE177" i="24"/>
  <c r="BH102" i="23"/>
  <c r="BH123" i="23" s="1"/>
  <c r="BH135" i="23" s="1"/>
  <c r="BE117" i="24"/>
  <c r="BF115" i="24"/>
  <c r="BF172" i="24"/>
  <c r="BE174" i="24"/>
  <c r="BF131" i="24"/>
  <c r="BE133" i="24"/>
  <c r="BF182" i="24"/>
  <c r="BE184" i="24"/>
  <c r="BF160" i="24"/>
  <c r="BE162" i="24"/>
  <c r="BF134" i="24"/>
  <c r="BE136" i="24"/>
  <c r="BE168" i="24"/>
  <c r="BF166" i="24"/>
  <c r="BE120" i="24"/>
  <c r="BF118" i="24"/>
  <c r="BF141" i="24"/>
  <c r="BE143" i="24"/>
  <c r="BF150" i="24"/>
  <c r="BE152" i="24"/>
  <c r="BE155" i="24"/>
  <c r="BF153" i="24"/>
  <c r="BF121" i="24"/>
  <c r="BE123" i="24"/>
  <c r="BF178" i="24"/>
  <c r="BE180" i="24"/>
  <c r="BF185" i="24"/>
  <c r="BE187" i="24"/>
  <c r="BF124" i="24"/>
  <c r="BE126" i="24"/>
  <c r="BE129" i="24"/>
  <c r="BF127" i="24"/>
  <c r="BE146" i="24"/>
  <c r="BF144" i="24"/>
  <c r="BE171" i="24"/>
  <c r="BF169" i="24"/>
  <c r="BH137" i="19" l="1"/>
  <c r="BH136" i="19"/>
  <c r="BH135" i="19"/>
  <c r="BH149" i="19" s="1"/>
  <c r="BI96" i="19"/>
  <c r="BI58" i="26"/>
  <c r="BI88" i="26" s="1"/>
  <c r="BG150" i="19"/>
  <c r="BH136" i="23"/>
  <c r="BI103" i="23"/>
  <c r="BI136" i="23" s="1"/>
  <c r="BG169" i="24"/>
  <c r="BF171" i="24"/>
  <c r="BF129" i="24"/>
  <c r="BG127" i="24"/>
  <c r="BF120" i="24"/>
  <c r="BG118" i="24"/>
  <c r="BG185" i="24"/>
  <c r="BF187" i="24"/>
  <c r="BF123" i="24"/>
  <c r="BG121" i="24"/>
  <c r="BF152" i="24"/>
  <c r="BG150" i="24"/>
  <c r="BG134" i="24"/>
  <c r="BF136" i="24"/>
  <c r="BF184" i="24"/>
  <c r="BG182" i="24"/>
  <c r="BG172" i="24"/>
  <c r="BF174" i="24"/>
  <c r="BI102" i="23"/>
  <c r="BI123" i="23" s="1"/>
  <c r="BI135" i="23" s="1"/>
  <c r="BF159" i="24"/>
  <c r="BG157" i="24"/>
  <c r="BF146" i="24"/>
  <c r="BG144" i="24"/>
  <c r="BG153" i="24"/>
  <c r="BF155" i="24"/>
  <c r="BF168" i="24"/>
  <c r="BG166" i="24"/>
  <c r="BF117" i="24"/>
  <c r="BG115" i="24"/>
  <c r="BG124" i="24"/>
  <c r="BF126" i="24"/>
  <c r="BF180" i="24"/>
  <c r="BG178" i="24"/>
  <c r="BG141" i="24"/>
  <c r="BF143" i="24"/>
  <c r="BG160" i="24"/>
  <c r="BF162" i="24"/>
  <c r="BF133" i="24"/>
  <c r="BG131" i="24"/>
  <c r="BF177" i="24"/>
  <c r="BG175" i="24"/>
  <c r="BF149" i="24"/>
  <c r="BG147" i="24"/>
  <c r="BI137" i="19" l="1"/>
  <c r="BI136" i="19"/>
  <c r="BI135" i="19"/>
  <c r="BI149" i="19" s="1"/>
  <c r="BI150" i="19"/>
  <c r="BH150" i="19"/>
  <c r="BH147" i="24"/>
  <c r="BG149" i="24"/>
  <c r="BG133" i="24"/>
  <c r="BH131" i="24"/>
  <c r="BH166" i="24"/>
  <c r="BG168" i="24"/>
  <c r="BG146" i="24"/>
  <c r="BH144" i="24"/>
  <c r="BG184" i="24"/>
  <c r="BH182" i="24"/>
  <c r="BG152" i="24"/>
  <c r="BH150" i="24"/>
  <c r="BG129" i="24"/>
  <c r="BH127" i="24"/>
  <c r="BG143" i="24"/>
  <c r="BH141" i="24"/>
  <c r="BH124" i="24"/>
  <c r="BG126" i="24"/>
  <c r="BH185" i="24"/>
  <c r="BG187" i="24"/>
  <c r="BH175" i="24"/>
  <c r="BG177" i="24"/>
  <c r="BG180" i="24"/>
  <c r="BH178" i="24"/>
  <c r="BH115" i="24"/>
  <c r="BG117" i="24"/>
  <c r="BH157" i="24"/>
  <c r="BG159" i="24"/>
  <c r="BG123" i="24"/>
  <c r="BH121" i="24"/>
  <c r="BG120" i="24"/>
  <c r="BH118" i="24"/>
  <c r="BH160" i="24"/>
  <c r="BG162" i="24"/>
  <c r="BH153" i="24"/>
  <c r="BG155" i="24"/>
  <c r="BH172" i="24"/>
  <c r="BG174" i="24"/>
  <c r="BG136" i="24"/>
  <c r="BH134" i="24"/>
  <c r="BH169" i="24"/>
  <c r="BG171" i="24"/>
  <c r="U286" i="14"/>
  <c r="Y286" i="14"/>
  <c r="AC286" i="14"/>
  <c r="AG286" i="14"/>
  <c r="AK286" i="14"/>
  <c r="AO286" i="14"/>
  <c r="AS286" i="14"/>
  <c r="AW286" i="14"/>
  <c r="BA286" i="14"/>
  <c r="BE286" i="14"/>
  <c r="AD286" i="14"/>
  <c r="AL286" i="14"/>
  <c r="AT286" i="14"/>
  <c r="BB286" i="14"/>
  <c r="BF286" i="14"/>
  <c r="AI286" i="14"/>
  <c r="AY286" i="14"/>
  <c r="X286" i="14"/>
  <c r="AJ286" i="14"/>
  <c r="AR286" i="14"/>
  <c r="AZ286" i="14"/>
  <c r="V286" i="14"/>
  <c r="Z286" i="14"/>
  <c r="AH286" i="14"/>
  <c r="AP286" i="14"/>
  <c r="AX286" i="14"/>
  <c r="BI286" i="14"/>
  <c r="AQ286" i="14"/>
  <c r="BC286" i="14"/>
  <c r="AB286" i="14"/>
  <c r="AN286" i="14"/>
  <c r="BD286" i="14"/>
  <c r="W286" i="14"/>
  <c r="AA286" i="14"/>
  <c r="AE286" i="14"/>
  <c r="AM286" i="14"/>
  <c r="AU286" i="14"/>
  <c r="BG286" i="14"/>
  <c r="AF286" i="14"/>
  <c r="AV286" i="14"/>
  <c r="BH286" i="14"/>
  <c r="AG308" i="14" l="1"/>
  <c r="AG304" i="14"/>
  <c r="AG306" i="14"/>
  <c r="AG301" i="14"/>
  <c r="AG303" i="14"/>
  <c r="AG310" i="14"/>
  <c r="AG313" i="14"/>
  <c r="AG305" i="14"/>
  <c r="AG300" i="14"/>
  <c r="AG302" i="14"/>
  <c r="AG307" i="14"/>
  <c r="AG309" i="14"/>
  <c r="AG312" i="14"/>
  <c r="AG311" i="14"/>
  <c r="BD310" i="14"/>
  <c r="BD305" i="14"/>
  <c r="BD312" i="14"/>
  <c r="BD301" i="14"/>
  <c r="BD306" i="14"/>
  <c r="BD311" i="14"/>
  <c r="BD304" i="14"/>
  <c r="BD307" i="14"/>
  <c r="BD300" i="14"/>
  <c r="BD302" i="14"/>
  <c r="BD308" i="14"/>
  <c r="BD309" i="14"/>
  <c r="BD313" i="14"/>
  <c r="BD303" i="14"/>
  <c r="AR310" i="14"/>
  <c r="AR311" i="14"/>
  <c r="AR305" i="14"/>
  <c r="AR304" i="14"/>
  <c r="AR313" i="14"/>
  <c r="AR302" i="14"/>
  <c r="AR303" i="14"/>
  <c r="AR309" i="14"/>
  <c r="AR306" i="14"/>
  <c r="AR308" i="14"/>
  <c r="AR301" i="14"/>
  <c r="AR312" i="14"/>
  <c r="AR300" i="14"/>
  <c r="AR307" i="14"/>
  <c r="AL312" i="14"/>
  <c r="AL313" i="14"/>
  <c r="AL309" i="14"/>
  <c r="AL301" i="14"/>
  <c r="AL308" i="14"/>
  <c r="AL306" i="14"/>
  <c r="AL305" i="14"/>
  <c r="AL310" i="14"/>
  <c r="AL300" i="14"/>
  <c r="AL311" i="14"/>
  <c r="AL304" i="14"/>
  <c r="AL307" i="14"/>
  <c r="AL303" i="14"/>
  <c r="AL302" i="14"/>
  <c r="AF310" i="14"/>
  <c r="AF311" i="14"/>
  <c r="AF301" i="14"/>
  <c r="AF307" i="14"/>
  <c r="AF313" i="14"/>
  <c r="AF303" i="14"/>
  <c r="AF305" i="14"/>
  <c r="AF306" i="14"/>
  <c r="AF302" i="14"/>
  <c r="AF312" i="14"/>
  <c r="AF308" i="14"/>
  <c r="AF300" i="14"/>
  <c r="AF309" i="14"/>
  <c r="AF304" i="14"/>
  <c r="AE303" i="14"/>
  <c r="AE302" i="14"/>
  <c r="AE306" i="14"/>
  <c r="AE305" i="14"/>
  <c r="AE308" i="14"/>
  <c r="AE311" i="14"/>
  <c r="AE312" i="14"/>
  <c r="AE300" i="14"/>
  <c r="AE304" i="14"/>
  <c r="AE307" i="14"/>
  <c r="AE309" i="14"/>
  <c r="AE313" i="14"/>
  <c r="AE310" i="14"/>
  <c r="AE301" i="14"/>
  <c r="AN310" i="14"/>
  <c r="AN311" i="14"/>
  <c r="AN307" i="14"/>
  <c r="AN308" i="14"/>
  <c r="AN305" i="14"/>
  <c r="AN300" i="14"/>
  <c r="AN309" i="14"/>
  <c r="AN306" i="14"/>
  <c r="AN302" i="14"/>
  <c r="AN304" i="14"/>
  <c r="AN303" i="14"/>
  <c r="AN312" i="14"/>
  <c r="AN313" i="14"/>
  <c r="AN301" i="14"/>
  <c r="BI313" i="14"/>
  <c r="BI308" i="14"/>
  <c r="BI301" i="14"/>
  <c r="BI309" i="14"/>
  <c r="BI310" i="14"/>
  <c r="BI306" i="14"/>
  <c r="BI303" i="14"/>
  <c r="BI305" i="14"/>
  <c r="BI311" i="14"/>
  <c r="BI304" i="14"/>
  <c r="BI312" i="14"/>
  <c r="BI307" i="14"/>
  <c r="BI300" i="14"/>
  <c r="BI302" i="14"/>
  <c r="Z306" i="14"/>
  <c r="Z302" i="14"/>
  <c r="Z301" i="14"/>
  <c r="Z303" i="14"/>
  <c r="Z300" i="14"/>
  <c r="Z312" i="14"/>
  <c r="Z309" i="14"/>
  <c r="Z311" i="14"/>
  <c r="Z305" i="14"/>
  <c r="Z313" i="14"/>
  <c r="Z308" i="14"/>
  <c r="Z304" i="14"/>
  <c r="Z307" i="14"/>
  <c r="Z310" i="14"/>
  <c r="AJ310" i="14"/>
  <c r="AJ311" i="14"/>
  <c r="AJ307" i="14"/>
  <c r="AJ300" i="14"/>
  <c r="AJ303" i="14"/>
  <c r="AJ308" i="14"/>
  <c r="AJ301" i="14"/>
  <c r="AJ309" i="14"/>
  <c r="AJ306" i="14"/>
  <c r="AJ312" i="14"/>
  <c r="AJ305" i="14"/>
  <c r="AJ304" i="14"/>
  <c r="AJ313" i="14"/>
  <c r="AJ302" i="14"/>
  <c r="BF312" i="14"/>
  <c r="BF313" i="14"/>
  <c r="BF303" i="14"/>
  <c r="BF306" i="14"/>
  <c r="BF308" i="14"/>
  <c r="BF304" i="14"/>
  <c r="BF302" i="14"/>
  <c r="BF311" i="14"/>
  <c r="BF300" i="14"/>
  <c r="BF305" i="14"/>
  <c r="BF310" i="14"/>
  <c r="BF307" i="14"/>
  <c r="BF309" i="14"/>
  <c r="BF301" i="14"/>
  <c r="AD311" i="14"/>
  <c r="AD304" i="14"/>
  <c r="AD309" i="14"/>
  <c r="AD312" i="14"/>
  <c r="AD310" i="14"/>
  <c r="AD306" i="14"/>
  <c r="AD300" i="14"/>
  <c r="AD302" i="14"/>
  <c r="AD307" i="14"/>
  <c r="AD303" i="14"/>
  <c r="AD301" i="14"/>
  <c r="AD313" i="14"/>
  <c r="AD305" i="14"/>
  <c r="AD308" i="14"/>
  <c r="AS313" i="14"/>
  <c r="AS311" i="14"/>
  <c r="AS306" i="14"/>
  <c r="AS303" i="14"/>
  <c r="AS301" i="14"/>
  <c r="AS309" i="14"/>
  <c r="AS307" i="14"/>
  <c r="AS304" i="14"/>
  <c r="AS312" i="14"/>
  <c r="AS305" i="14"/>
  <c r="AS300" i="14"/>
  <c r="AS310" i="14"/>
  <c r="AS302" i="14"/>
  <c r="AS308" i="14"/>
  <c r="AC313" i="14"/>
  <c r="AC301" i="14"/>
  <c r="AC308" i="14"/>
  <c r="AC310" i="14"/>
  <c r="AC306" i="14"/>
  <c r="AC305" i="14"/>
  <c r="AC303" i="14"/>
  <c r="AC300" i="14"/>
  <c r="AC311" i="14"/>
  <c r="AC309" i="14"/>
  <c r="AC312" i="14"/>
  <c r="AC302" i="14"/>
  <c r="AC307" i="14"/>
  <c r="AC304" i="14"/>
  <c r="AV310" i="14"/>
  <c r="AV311" i="14"/>
  <c r="AV301" i="14"/>
  <c r="AV300" i="14"/>
  <c r="AV306" i="14"/>
  <c r="AV302" i="14"/>
  <c r="AV313" i="14"/>
  <c r="AV312" i="14"/>
  <c r="AV308" i="14"/>
  <c r="AV303" i="14"/>
  <c r="AV309" i="14"/>
  <c r="AV305" i="14"/>
  <c r="AV304" i="14"/>
  <c r="AV307" i="14"/>
  <c r="AQ311" i="14"/>
  <c r="AQ312" i="14"/>
  <c r="AQ308" i="14"/>
  <c r="AQ304" i="14"/>
  <c r="AQ310" i="14"/>
  <c r="AQ301" i="14"/>
  <c r="AQ306" i="14"/>
  <c r="AQ307" i="14"/>
  <c r="AQ313" i="14"/>
  <c r="AQ302" i="14"/>
  <c r="AQ309" i="14"/>
  <c r="AQ305" i="14"/>
  <c r="AQ300" i="14"/>
  <c r="AQ303" i="14"/>
  <c r="AI311" i="14"/>
  <c r="AI312" i="14"/>
  <c r="AI302" i="14"/>
  <c r="AI300" i="14"/>
  <c r="AI305" i="14"/>
  <c r="AI303" i="14"/>
  <c r="AI306" i="14"/>
  <c r="AI308" i="14"/>
  <c r="AI313" i="14"/>
  <c r="AI304" i="14"/>
  <c r="AI307" i="14"/>
  <c r="AI309" i="14"/>
  <c r="AI301" i="14"/>
  <c r="AI310" i="14"/>
  <c r="BG311" i="14"/>
  <c r="BG312" i="14"/>
  <c r="BG308" i="14"/>
  <c r="BG300" i="14"/>
  <c r="BG307" i="14"/>
  <c r="BG313" i="14"/>
  <c r="BG302" i="14"/>
  <c r="BG304" i="14"/>
  <c r="BG310" i="14"/>
  <c r="BG309" i="14"/>
  <c r="BG305" i="14"/>
  <c r="BG306" i="14"/>
  <c r="BG303" i="14"/>
  <c r="BG301" i="14"/>
  <c r="AO313" i="14"/>
  <c r="AO305" i="14"/>
  <c r="AO304" i="14"/>
  <c r="AO311" i="14"/>
  <c r="AO310" i="14"/>
  <c r="AO309" i="14"/>
  <c r="AO301" i="14"/>
  <c r="AO300" i="14"/>
  <c r="AO312" i="14"/>
  <c r="AO307" i="14"/>
  <c r="AO308" i="14"/>
  <c r="AO303" i="14"/>
  <c r="AO302" i="14"/>
  <c r="AO306" i="14"/>
  <c r="AM311" i="14"/>
  <c r="AM312" i="14"/>
  <c r="AM309" i="14"/>
  <c r="AM304" i="14"/>
  <c r="AM300" i="14"/>
  <c r="AM308" i="14"/>
  <c r="AM313" i="14"/>
  <c r="AM302" i="14"/>
  <c r="AM301" i="14"/>
  <c r="AM307" i="14"/>
  <c r="AM303" i="14"/>
  <c r="AM305" i="14"/>
  <c r="AM310" i="14"/>
  <c r="AM306" i="14"/>
  <c r="AH312" i="14"/>
  <c r="AH313" i="14"/>
  <c r="AH303" i="14"/>
  <c r="AH308" i="14"/>
  <c r="AH310" i="14"/>
  <c r="AH306" i="14"/>
  <c r="AH311" i="14"/>
  <c r="AH304" i="14"/>
  <c r="AH302" i="14"/>
  <c r="AH301" i="14"/>
  <c r="AH305" i="14"/>
  <c r="AH307" i="14"/>
  <c r="AH309" i="14"/>
  <c r="AH300" i="14"/>
  <c r="AW313" i="14"/>
  <c r="AW310" i="14"/>
  <c r="AW300" i="14"/>
  <c r="AW311" i="14"/>
  <c r="AW308" i="14"/>
  <c r="AW309" i="14"/>
  <c r="AW305" i="14"/>
  <c r="AW303" i="14"/>
  <c r="AW304" i="14"/>
  <c r="AW302" i="14"/>
  <c r="AW312" i="14"/>
  <c r="AW301" i="14"/>
  <c r="AW306" i="14"/>
  <c r="AW307" i="14"/>
  <c r="AA311" i="14"/>
  <c r="AA307" i="14"/>
  <c r="AA303" i="14"/>
  <c r="AA305" i="14"/>
  <c r="AA308" i="14"/>
  <c r="AA312" i="14"/>
  <c r="AA313" i="14"/>
  <c r="AA310" i="14"/>
  <c r="AA306" i="14"/>
  <c r="AA302" i="14"/>
  <c r="AA309" i="14"/>
  <c r="AA304" i="14"/>
  <c r="AA300" i="14"/>
  <c r="AA301" i="14"/>
  <c r="AB307" i="14"/>
  <c r="AB302" i="14"/>
  <c r="AB312" i="14"/>
  <c r="AB300" i="14"/>
  <c r="AB304" i="14"/>
  <c r="AB310" i="14"/>
  <c r="AB303" i="14"/>
  <c r="AB309" i="14"/>
  <c r="AB311" i="14"/>
  <c r="AB313" i="14"/>
  <c r="AB306" i="14"/>
  <c r="AB305" i="14"/>
  <c r="AB301" i="14"/>
  <c r="AB308" i="14"/>
  <c r="AX312" i="14"/>
  <c r="AX313" i="14"/>
  <c r="AX303" i="14"/>
  <c r="AX307" i="14"/>
  <c r="AX308" i="14"/>
  <c r="AX304" i="14"/>
  <c r="AX306" i="14"/>
  <c r="AX311" i="14"/>
  <c r="AX310" i="14"/>
  <c r="AX302" i="14"/>
  <c r="AX301" i="14"/>
  <c r="AX300" i="14"/>
  <c r="AX305" i="14"/>
  <c r="AX309" i="14"/>
  <c r="V308" i="14"/>
  <c r="V307" i="14"/>
  <c r="V304" i="14"/>
  <c r="V310" i="14"/>
  <c r="V312" i="14"/>
  <c r="V306" i="14"/>
  <c r="V303" i="14"/>
  <c r="V302" i="14"/>
  <c r="V311" i="14"/>
  <c r="V313" i="14"/>
  <c r="V305" i="14"/>
  <c r="V301" i="14"/>
  <c r="V300" i="14"/>
  <c r="V309" i="14"/>
  <c r="X309" i="14"/>
  <c r="X307" i="14"/>
  <c r="X305" i="14"/>
  <c r="X312" i="14"/>
  <c r="X313" i="14"/>
  <c r="X310" i="14"/>
  <c r="X306" i="14"/>
  <c r="X301" i="14"/>
  <c r="X303" i="14"/>
  <c r="X304" i="14"/>
  <c r="X311" i="14"/>
  <c r="X302" i="14"/>
  <c r="X300" i="14"/>
  <c r="X308" i="14"/>
  <c r="BB312" i="14"/>
  <c r="BB313" i="14"/>
  <c r="BB300" i="14"/>
  <c r="BB302" i="14"/>
  <c r="BB311" i="14"/>
  <c r="BB306" i="14"/>
  <c r="BB303" i="14"/>
  <c r="BB301" i="14"/>
  <c r="BB304" i="14"/>
  <c r="BB309" i="14"/>
  <c r="BB308" i="14"/>
  <c r="BB310" i="14"/>
  <c r="BB305" i="14"/>
  <c r="BB307" i="14"/>
  <c r="BE313" i="14"/>
  <c r="BE308" i="14"/>
  <c r="BE304" i="14"/>
  <c r="BE303" i="14"/>
  <c r="BE311" i="14"/>
  <c r="BE302" i="14"/>
  <c r="BE309" i="14"/>
  <c r="BE310" i="14"/>
  <c r="BE300" i="14"/>
  <c r="BE312" i="14"/>
  <c r="BE307" i="14"/>
  <c r="BE305" i="14"/>
  <c r="BE301" i="14"/>
  <c r="BE306" i="14"/>
  <c r="Y308" i="14"/>
  <c r="Y306" i="14"/>
  <c r="Y304" i="14"/>
  <c r="Y300" i="14"/>
  <c r="Y301" i="14"/>
  <c r="Y310" i="14"/>
  <c r="Y312" i="14"/>
  <c r="Y307" i="14"/>
  <c r="Y311" i="14"/>
  <c r="Y302" i="14"/>
  <c r="Y303" i="14"/>
  <c r="Y313" i="14"/>
  <c r="Y309" i="14"/>
  <c r="Y305" i="14"/>
  <c r="BH310" i="14"/>
  <c r="BH305" i="14"/>
  <c r="BH307" i="14"/>
  <c r="BH300" i="14"/>
  <c r="BH304" i="14"/>
  <c r="BH306" i="14"/>
  <c r="BH311" i="14"/>
  <c r="BH301" i="14"/>
  <c r="BH313" i="14"/>
  <c r="BH308" i="14"/>
  <c r="BH303" i="14"/>
  <c r="BH309" i="14"/>
  <c r="BH302" i="14"/>
  <c r="BH312" i="14"/>
  <c r="AU311" i="14"/>
  <c r="AU312" i="14"/>
  <c r="AU300" i="14"/>
  <c r="AU308" i="14"/>
  <c r="AU301" i="14"/>
  <c r="AU307" i="14"/>
  <c r="AU303" i="14"/>
  <c r="AU304" i="14"/>
  <c r="AU309" i="14"/>
  <c r="AU310" i="14"/>
  <c r="AU302" i="14"/>
  <c r="AU306" i="14"/>
  <c r="AU305" i="14"/>
  <c r="AU313" i="14"/>
  <c r="W304" i="14"/>
  <c r="W302" i="14"/>
  <c r="W306" i="14"/>
  <c r="W305" i="14"/>
  <c r="W311" i="14"/>
  <c r="W307" i="14"/>
  <c r="W310" i="14"/>
  <c r="W301" i="14"/>
  <c r="W309" i="14"/>
  <c r="W312" i="14"/>
  <c r="W303" i="14"/>
  <c r="W313" i="14"/>
  <c r="W308" i="14"/>
  <c r="W300" i="14"/>
  <c r="BC311" i="14"/>
  <c r="BC312" i="14"/>
  <c r="BC302" i="14"/>
  <c r="BC304" i="14"/>
  <c r="BC308" i="14"/>
  <c r="BC313" i="14"/>
  <c r="BC301" i="14"/>
  <c r="BC300" i="14"/>
  <c r="BC307" i="14"/>
  <c r="BC305" i="14"/>
  <c r="BC309" i="14"/>
  <c r="BC306" i="14"/>
  <c r="BC310" i="14"/>
  <c r="BC303" i="14"/>
  <c r="AP312" i="14"/>
  <c r="AP313" i="14"/>
  <c r="AP303" i="14"/>
  <c r="AP309" i="14"/>
  <c r="AP308" i="14"/>
  <c r="AP310" i="14"/>
  <c r="AP302" i="14"/>
  <c r="AP305" i="14"/>
  <c r="AP311" i="14"/>
  <c r="AP304" i="14"/>
  <c r="AP300" i="14"/>
  <c r="AP301" i="14"/>
  <c r="AP307" i="14"/>
  <c r="AP306" i="14"/>
  <c r="AZ310" i="14"/>
  <c r="AZ305" i="14"/>
  <c r="AZ302" i="14"/>
  <c r="AZ300" i="14"/>
  <c r="AZ303" i="14"/>
  <c r="AZ306" i="14"/>
  <c r="AZ311" i="14"/>
  <c r="AZ307" i="14"/>
  <c r="AZ304" i="14"/>
  <c r="AZ313" i="14"/>
  <c r="AZ312" i="14"/>
  <c r="AZ301" i="14"/>
  <c r="AZ309" i="14"/>
  <c r="AZ308" i="14"/>
  <c r="AY311" i="14"/>
  <c r="AY312" i="14"/>
  <c r="AY302" i="14"/>
  <c r="AY305" i="14"/>
  <c r="AY308" i="14"/>
  <c r="AY307" i="14"/>
  <c r="AY309" i="14"/>
  <c r="AY313" i="14"/>
  <c r="AY300" i="14"/>
  <c r="AY304" i="14"/>
  <c r="AY306" i="14"/>
  <c r="AY310" i="14"/>
  <c r="AY303" i="14"/>
  <c r="AY301" i="14"/>
  <c r="AT312" i="14"/>
  <c r="AT313" i="14"/>
  <c r="AT310" i="14"/>
  <c r="AT305" i="14"/>
  <c r="AT309" i="14"/>
  <c r="AT308" i="14"/>
  <c r="AT306" i="14"/>
  <c r="AT300" i="14"/>
  <c r="AT302" i="14"/>
  <c r="AT304" i="14"/>
  <c r="AT307" i="14"/>
  <c r="AT301" i="14"/>
  <c r="AT311" i="14"/>
  <c r="AT303" i="14"/>
  <c r="BA313" i="14"/>
  <c r="BA308" i="14"/>
  <c r="BA306" i="14"/>
  <c r="BA309" i="14"/>
  <c r="BA310" i="14"/>
  <c r="BA304" i="14"/>
  <c r="BA302" i="14"/>
  <c r="BA312" i="14"/>
  <c r="BA303" i="14"/>
  <c r="BA305" i="14"/>
  <c r="BA307" i="14"/>
  <c r="BA300" i="14"/>
  <c r="BA311" i="14"/>
  <c r="BA301" i="14"/>
  <c r="AK313" i="14"/>
  <c r="AK307" i="14"/>
  <c r="AK304" i="14"/>
  <c r="AK309" i="14"/>
  <c r="AK305" i="14"/>
  <c r="AK300" i="14"/>
  <c r="AK310" i="14"/>
  <c r="AK302" i="14"/>
  <c r="AK312" i="14"/>
  <c r="AK301" i="14"/>
  <c r="AK308" i="14"/>
  <c r="AK306" i="14"/>
  <c r="AK311" i="14"/>
  <c r="AK303" i="14"/>
  <c r="U313" i="14"/>
  <c r="U302" i="14"/>
  <c r="U303" i="14"/>
  <c r="U306" i="14"/>
  <c r="U308" i="14"/>
  <c r="U307" i="14"/>
  <c r="U309" i="14"/>
  <c r="U312" i="14"/>
  <c r="U310" i="14"/>
  <c r="U311" i="14"/>
  <c r="U304" i="14"/>
  <c r="U305" i="14"/>
  <c r="U301" i="14"/>
  <c r="U300" i="14"/>
  <c r="BI134" i="24"/>
  <c r="BI136" i="24" s="1"/>
  <c r="BH136" i="24"/>
  <c r="BH120" i="24"/>
  <c r="BI118" i="24"/>
  <c r="BI120" i="24" s="1"/>
  <c r="BH180" i="24"/>
  <c r="BI178" i="24"/>
  <c r="BI180" i="24" s="1"/>
  <c r="BH143" i="24"/>
  <c r="BI141" i="24"/>
  <c r="BI143" i="24" s="1"/>
  <c r="BH152" i="24"/>
  <c r="BI150" i="24"/>
  <c r="BI152" i="24" s="1"/>
  <c r="BH146" i="24"/>
  <c r="BI144" i="24"/>
  <c r="BI146" i="24" s="1"/>
  <c r="BH133" i="24"/>
  <c r="BI131" i="24"/>
  <c r="BI133" i="24" s="1"/>
  <c r="BH155" i="24"/>
  <c r="BI153" i="24"/>
  <c r="BI155" i="24" s="1"/>
  <c r="BH159" i="24"/>
  <c r="BI157" i="24"/>
  <c r="BI159" i="24" s="1"/>
  <c r="BH187" i="24"/>
  <c r="BI185" i="24"/>
  <c r="BI187" i="24" s="1"/>
  <c r="BH129" i="24"/>
  <c r="BI127" i="24"/>
  <c r="BI129" i="24" s="1"/>
  <c r="BH184" i="24"/>
  <c r="BI182" i="24"/>
  <c r="BI184" i="24" s="1"/>
  <c r="BH123" i="24"/>
  <c r="BI121" i="24"/>
  <c r="BI123" i="24" s="1"/>
  <c r="BH171" i="24"/>
  <c r="BI169" i="24"/>
  <c r="BI171" i="24" s="1"/>
  <c r="BI172" i="24"/>
  <c r="BI174" i="24" s="1"/>
  <c r="BH174" i="24"/>
  <c r="BI160" i="24"/>
  <c r="BI162" i="24" s="1"/>
  <c r="BH162" i="24"/>
  <c r="BH117" i="24"/>
  <c r="BI115" i="24"/>
  <c r="BI117" i="24" s="1"/>
  <c r="BH177" i="24"/>
  <c r="BI175" i="24"/>
  <c r="BI177" i="24" s="1"/>
  <c r="BI124" i="24"/>
  <c r="BI126" i="24" s="1"/>
  <c r="BH126" i="24"/>
  <c r="BI166" i="24"/>
  <c r="BI168" i="24" s="1"/>
  <c r="BH168" i="24"/>
  <c r="BI147" i="24"/>
  <c r="BI149" i="24" s="1"/>
  <c r="BH149" i="24"/>
</calcChain>
</file>

<file path=xl/comments1.xml><?xml version="1.0" encoding="utf-8"?>
<comments xmlns="http://schemas.openxmlformats.org/spreadsheetml/2006/main">
  <authors>
    <author>Piotr Mierzejewski</author>
  </authors>
  <commentList>
    <comment ref="J12" authorId="0" shapeId="0">
      <text>
        <r>
          <rPr>
            <sz val="8"/>
            <color indexed="81"/>
            <rFont val="Tahoma"/>
            <family val="2"/>
            <charset val="238"/>
          </rPr>
          <t xml:space="preserve">Dane opracowane na bazie wyników NSP'2011: </t>
        </r>
        <r>
          <rPr>
            <b/>
            <sz val="8"/>
            <color indexed="81"/>
            <rFont val="Tahoma"/>
            <family val="2"/>
            <charset val="238"/>
          </rPr>
          <t xml:space="preserve">38 497 tys.
</t>
        </r>
        <r>
          <rPr>
            <sz val="8"/>
            <color indexed="81"/>
            <rFont val="Tahoma"/>
            <family val="2"/>
            <charset val="238"/>
          </rPr>
          <t>Źródło: Mały Rocznik Statystyczny Polski 2016, Tabl. 2(64), Bilans ludności - Stan ludności w dniu 1 stycznia 2010</t>
        </r>
      </text>
    </comment>
    <comment ref="K12" authorId="0" shapeId="0">
      <text>
        <r>
          <rPr>
            <sz val="8"/>
            <color indexed="81"/>
            <rFont val="Tahoma"/>
            <family val="2"/>
            <charset val="238"/>
          </rPr>
          <t>Dane opracowane na bazie wyników NSP'2011.</t>
        </r>
      </text>
    </comment>
  </commentList>
</comments>
</file>

<file path=xl/comments10.xml><?xml version="1.0" encoding="utf-8"?>
<comments xmlns="http://schemas.openxmlformats.org/spreadsheetml/2006/main">
  <authors>
    <author>Piotr Mierzejewski</author>
  </authors>
  <commentList>
    <comment ref="A50" authorId="0" shapeId="0">
      <text>
        <r>
          <rPr>
            <sz val="9"/>
            <color indexed="81"/>
            <rFont val="Tahoma"/>
            <family val="2"/>
            <charset val="238"/>
          </rPr>
          <t xml:space="preserve">Koszty zmiany klimatu – bez uwzględnienia parytetu krajowego PKB per capita w PPS, dodatkowe uwzględnienie długoterminowej ścieżki wzrostu.  </t>
        </r>
      </text>
    </comment>
    <comment ref="F50" authorId="0" shapeId="0">
      <text>
        <r>
          <rPr>
            <sz val="9"/>
            <color indexed="81"/>
            <rFont val="Tahoma"/>
            <family val="2"/>
            <charset val="238"/>
          </rPr>
          <t xml:space="preserve">Koszty zmiany klimatu – dla pociągów elektrycznych (pasażerskich, towarowych) dodatkowo uwzględniony spadek wskaźnika emisji CO2 sieciowej energii elektrycznej. </t>
        </r>
      </text>
    </comment>
    <comment ref="N50" authorId="0" shapeId="0">
      <text>
        <r>
          <rPr>
            <sz val="9"/>
            <color indexed="81"/>
            <rFont val="Tahoma"/>
            <family val="2"/>
            <charset val="238"/>
          </rPr>
          <t xml:space="preserve">Koszty zmiany klimatu – dla pociągów elektrycznych (pasażerskich, towarowych) dodatkowo uwzględniony spadek wskaźnika emisji CO2 sieciowej energii elektrycznej. </t>
        </r>
      </text>
    </comment>
  </commentList>
</comments>
</file>

<file path=xl/comments11.xml><?xml version="1.0" encoding="utf-8"?>
<comments xmlns="http://schemas.openxmlformats.org/spreadsheetml/2006/main">
  <authors>
    <author>Piotr Mierzejewski</author>
  </authors>
  <commentList>
    <comment ref="V13" authorId="0" shapeId="0">
      <text>
        <r>
          <rPr>
            <sz val="9"/>
            <color indexed="81"/>
            <rFont val="Tahoma"/>
            <family val="2"/>
            <charset val="238"/>
          </rPr>
          <t xml:space="preserve">Wyjątkowo w tym roku zastosowano zaokrąglenia wyników obliczeń, na potrzeby aktualizacji NK drogowej. Formuły zaokrągleń są jednakowe: 
zaokrąglenie zwykłe, uniwersalną elastyczną formułą (do pełnych tysięcy PLN jeśli kwota w dziesiątkach tysięcy; do pełnych dziesiątek tysięcy PLN jeśli kwota w setkach tysięcy; do pełnych setek tysięcy PLN jeśli kwota w milionach). </t>
        </r>
      </text>
    </comment>
    <comment ref="V37" authorId="0" shapeId="0">
      <text>
        <r>
          <rPr>
            <sz val="9"/>
            <color indexed="81"/>
            <rFont val="Tahoma"/>
            <family val="2"/>
            <charset val="238"/>
          </rPr>
          <t xml:space="preserve">Wyjątkowo w tym roku zastosowano zaokrąglenia wyników obliczeń, na potrzeby aktualizacji NK drogowej. Formuły zaokrągleń są jednakowe: 
zaokrąglenie zwykłe, uniwersalną elastyczną formułą (do pełnych tysięcy PLN jeśli kwota w dziesiątkach tysięcy; do pełnych dziesiątek tysięcy PLN jeśli kwota w setkach tysięcy; do pełnych setek tysięcy PLN jeśli kwota w milionach). </t>
        </r>
      </text>
    </comment>
    <comment ref="U87" authorId="0" shapeId="0">
      <text>
        <r>
          <rPr>
            <sz val="9"/>
            <color indexed="81"/>
            <rFont val="Tahoma"/>
            <family val="2"/>
            <charset val="238"/>
          </rPr>
          <t xml:space="preserve">W okresie przejściowym (rok 2021) przyjęto, że wartość tego kosztu do zastosowania w roku 2021 jest taka, jak wynika z danych za miesiące roku 2021. Wartość na kolejny rok przyjęto na takim samym poziomie, bez indeksacji. </t>
        </r>
      </text>
    </comment>
  </commentList>
</comments>
</file>

<file path=xl/comments12.xml><?xml version="1.0" encoding="utf-8"?>
<comments xmlns="http://schemas.openxmlformats.org/spreadsheetml/2006/main">
  <authors>
    <author>Piotr Mierzejewski</author>
    <author>Dariusz Giziński</author>
  </authors>
  <commentList>
    <comment ref="C20" authorId="0" shapeId="0">
      <text>
        <r>
          <rPr>
            <sz val="9"/>
            <color indexed="81"/>
            <rFont val="Tahoma"/>
            <family val="2"/>
            <charset val="238"/>
          </rPr>
          <t xml:space="preserve">Jednostka według opracowania źródłowego KOBiZE (2020): 
kg/MWh = g/kWh </t>
        </r>
      </text>
    </comment>
    <comment ref="F20" authorId="1" shapeId="0">
      <text>
        <r>
          <rPr>
            <sz val="9"/>
            <color indexed="81"/>
            <rFont val="Tahoma"/>
            <family val="2"/>
            <charset val="238"/>
          </rPr>
          <t xml:space="preserve">Wartość wskaźnika emisyjności NMHC/NMVOC przyjęto z innego źródła niż dla wskaźników emisyjności pozostałych zanieczyszczeń w tym wierszu, gdyż brak wartości tego parametru w opracowaniu KOBiZE (2020). 
Źródło danych dla parametru Wskaźnik emisyjności NMVOC dla energii elektrycznej sieciowej w Polsce: 
Update of the Handbook on External Costs of Transport, Final Report, Ricardo-AEA, 8th January 2014, Annex F. Costs of up- and downstream processes, Table F-3. Emission factors from electricity use in g/GJ. 
Wykonano przeliczenie z g/GJ na g/kWh: 
(1.000 W * 3.600 s) / 1.000.000.000 J = 0,0036 GJ/kWh (tzn. 1 kWh = 0,0036 GJ) 
1,4 g/GJ *0,0036 GJ/kWh = 0,00504 g/kWh </t>
        </r>
      </text>
    </comment>
    <comment ref="I20" authorId="0" shapeId="0">
      <text>
        <r>
          <rPr>
            <sz val="9"/>
            <color indexed="81"/>
            <rFont val="Tahoma"/>
            <family val="2"/>
            <charset val="238"/>
          </rPr>
          <t xml:space="preserve">Opracowanie źródłowe jest dostępne pod adresem internetowym: https://www.kobize.pl/uploads/materialy/materialy_do_pobrania/wskazniki_emisyjnosci/Wskazniki_emisyjnosci_grudzien_2020.pdf 
</t>
        </r>
        <r>
          <rPr>
            <sz val="9"/>
            <color indexed="81"/>
            <rFont val="Tahoma"/>
            <family val="2"/>
            <charset val="238"/>
          </rPr>
          <t xml:space="preserve">Według KOBiZE nastąpił spadek wskaźnika emisyjności CO2 z 765 kg/MWh w roku 2018 do 719 kg/MWh w roku 2019, tzn. o –6,01%. </t>
        </r>
      </text>
    </comment>
    <comment ref="B40" authorId="0" shapeId="0">
      <text>
        <r>
          <rPr>
            <sz val="9"/>
            <color indexed="81"/>
            <rFont val="Tahoma"/>
            <family val="2"/>
            <charset val="238"/>
          </rPr>
          <t xml:space="preserve">Ta sama gęstość paliwa (oleju napędowego) została zastosowana do obliczenia VOC (składnik: zużycie paliwa) oraz do obliczenia emisji CO2 na potrzeby kosztów jednostkowych zmiany klimatu. </t>
        </r>
      </text>
    </comment>
    <comment ref="B43"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C48" authorId="0" shapeId="0">
      <text>
        <r>
          <rPr>
            <sz val="9"/>
            <color indexed="81"/>
            <rFont val="Tahoma"/>
            <family val="2"/>
            <charset val="238"/>
          </rPr>
          <t xml:space="preserve">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57" authorId="0" shapeId="0">
      <text>
        <r>
          <rPr>
            <sz val="9"/>
            <color indexed="81"/>
            <rFont val="Tahoma"/>
            <family val="2"/>
            <charset val="238"/>
          </rPr>
          <t xml:space="preserve">Wartości oznaczone [1] wg źródła alternatywnego, wyłącznie w celach informacyjnych, porównawczych. </t>
        </r>
      </text>
    </comment>
    <comment ref="B63" authorId="0" shapeId="0">
      <text>
        <r>
          <rPr>
            <sz val="9"/>
            <color indexed="81"/>
            <rFont val="Tahoma"/>
            <family val="2"/>
            <charset val="238"/>
          </rPr>
          <t xml:space="preserve">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B81"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List>
</comments>
</file>

<file path=xl/comments2.xml><?xml version="1.0" encoding="utf-8"?>
<comments xmlns="http://schemas.openxmlformats.org/spreadsheetml/2006/main">
  <authors>
    <author>Piotr Mierzejewski</author>
  </authors>
  <commentList>
    <comment ref="P5" authorId="0" shapeId="0">
      <text>
        <r>
          <rPr>
            <u/>
            <sz val="9"/>
            <color indexed="81"/>
            <rFont val="Tahoma"/>
            <family val="2"/>
            <charset val="238"/>
          </rPr>
          <t>Pociągi towarowe bezpośrednie</t>
        </r>
        <r>
          <rPr>
            <sz val="9"/>
            <color indexed="81"/>
            <rFont val="Tahoma"/>
            <family val="2"/>
            <charset val="238"/>
          </rPr>
          <t xml:space="preserve"> – składają się z tego samego rodzaju wagonów towarowych i przeznaczone są do przewozu jednorodnego rodzaju ładunku w masowych ilościach. Zasadniczo są to pociągi towarowe wahadłowe, których istota przewozu polega na przemieszczaniu się zwartego składu wagonów towarowych z ładunkiem (...). Pomiędzy przewozem ładunków następują – w punktach zwrotnych – operacje załadunku i rozładunku. (Wikipedia, PL) 
A </t>
        </r>
        <r>
          <rPr>
            <u/>
            <sz val="9"/>
            <color indexed="81"/>
            <rFont val="Tahoma"/>
            <family val="2"/>
            <charset val="238"/>
          </rPr>
          <t>unit train</t>
        </r>
        <r>
          <rPr>
            <sz val="9"/>
            <color indexed="81"/>
            <rFont val="Tahoma"/>
            <family val="2"/>
            <charset val="238"/>
          </rPr>
          <t>, also called a </t>
        </r>
        <r>
          <rPr>
            <u/>
            <sz val="9"/>
            <color indexed="81"/>
            <rFont val="Tahoma"/>
            <family val="2"/>
            <charset val="238"/>
          </rPr>
          <t>block train</t>
        </r>
        <r>
          <rPr>
            <sz val="9"/>
            <color indexed="81"/>
            <rFont val="Tahoma"/>
            <family val="2"/>
            <charset val="238"/>
          </rPr>
          <t xml:space="preserve"> or a </t>
        </r>
        <r>
          <rPr>
            <u/>
            <sz val="9"/>
            <color indexed="81"/>
            <rFont val="Tahoma"/>
            <family val="2"/>
            <charset val="238"/>
          </rPr>
          <t>trainload service</t>
        </r>
        <r>
          <rPr>
            <sz val="9"/>
            <color indexed="81"/>
            <rFont val="Tahoma"/>
            <family val="2"/>
            <charset val="238"/>
          </rPr>
          <t xml:space="preserve">, is a train in which all cars carry the same commodity and are shipped from the same origin to the same destination, without being split up or stored en route. (Wikipedia, EN) </t>
        </r>
      </text>
    </comment>
    <comment ref="T5" authorId="0" shapeId="0">
      <text>
        <r>
          <rPr>
            <u/>
            <sz val="9"/>
            <color indexed="81"/>
            <rFont val="Tahoma"/>
            <family val="2"/>
            <charset val="238"/>
          </rPr>
          <t>Pociągi towarowe grupowe</t>
        </r>
        <r>
          <rPr>
            <sz val="9"/>
            <color indexed="81"/>
            <rFont val="Tahoma"/>
            <family val="2"/>
            <charset val="238"/>
          </rPr>
          <t xml:space="preserve"> – zestawione mogą być z tego samego rodzaju wagonów towarowych albo różnych rodzajów wagonów towarowych, ale zgrupowanych według miejsc przeznaczenia, do jakiego dana grupa wagonów będzie kierowana. Może być od dwóch do kilku grup wagonowych w pociągu towarowym. Ten typ pociągu towarowego umożliwia obsługę kilku punktów docelowych ładunku, szczególnie wtedy, gdy część trasy przewozu poszczególnych grup wagonów – od punktu nadania do punktu przeznaczenia – pokrywa się. W trakcie przewozu, w optymalnym do tego celu punkcie, pociąg towarowy grupowy jest dzielony, a grupy wagonowe kierowane są do poszczególnych punktów docelowych jako nowo sformowane pociągi towarowe. (Wikipedia, PL) 
In rail freight transportation the terms </t>
        </r>
        <r>
          <rPr>
            <u/>
            <sz val="9"/>
            <color indexed="81"/>
            <rFont val="Tahoma"/>
            <family val="2"/>
            <charset val="238"/>
          </rPr>
          <t>wagonload</t>
        </r>
        <r>
          <rPr>
            <sz val="9"/>
            <color indexed="81"/>
            <rFont val="Tahoma"/>
            <family val="2"/>
            <charset val="238"/>
          </rPr>
          <t xml:space="preserve"> or </t>
        </r>
        <r>
          <rPr>
            <u/>
            <sz val="9"/>
            <color indexed="81"/>
            <rFont val="Tahoma"/>
            <family val="2"/>
            <charset val="238"/>
          </rPr>
          <t>wagonload freight</t>
        </r>
        <r>
          <rPr>
            <sz val="9"/>
            <color indexed="81"/>
            <rFont val="Tahoma"/>
            <family val="2"/>
            <charset val="238"/>
          </rPr>
          <t xml:space="preserve"> refer to trains made of single wagon consignments of freight. 
With competition from road transport rail freight transport is increasingly operated as unit trains, with wagonload less able to compete with road haulage. 
Wagonload traffic typically consists of individual wagons load with goods at separate locations (goods shed), transferred to marshalling yards where the wagons are sorted by destination, then transported to a destination marshalling yard where individual wagons are separated and collected into trains per destination. (Wikipedia, EN) </t>
        </r>
      </text>
    </comment>
    <comment ref="X5" authorId="0" shapeId="0">
      <text>
        <r>
          <rPr>
            <u/>
            <sz val="9"/>
            <color indexed="81"/>
            <rFont val="Tahoma"/>
            <family val="2"/>
            <charset val="238"/>
          </rPr>
          <t>Pociąg towarowy intermodalny</t>
        </r>
        <r>
          <rPr>
            <sz val="9"/>
            <color indexed="81"/>
            <rFont val="Tahoma"/>
            <family val="2"/>
            <charset val="238"/>
          </rPr>
          <t xml:space="preserve"> – zestawiony z wagonów towarowych przeznaczonych do przewozów jednostek ładunkowych (takich jak kontenery, naczepy samochodowe lub całe samochody ciężarowe). (Wikipedia, PL) </t>
        </r>
      </text>
    </comment>
    <comment ref="Q37" authorId="0" shapeId="0">
      <text>
        <r>
          <rPr>
            <sz val="9"/>
            <color indexed="81"/>
            <rFont val="Tahoma"/>
            <family val="2"/>
            <charset val="238"/>
          </rPr>
          <t xml:space="preserve">W roku 2010 UE liczyła 27 państw członkowskich. 
W połowie roku 2013 dołączyła Chorwacja i odtąd do końca stycznia 2020 roku UE liczyła 28 państw członkowskich. Na koniec stycznia 2020 roku Wielka Brytania opuściła UE. </t>
        </r>
      </text>
    </comment>
  </commentList>
</comments>
</file>

<file path=xl/comments3.xml><?xml version="1.0" encoding="utf-8"?>
<comments xmlns="http://schemas.openxmlformats.org/spreadsheetml/2006/main">
  <authors>
    <author>Piotr Mierzejewski</author>
  </authors>
  <commentList>
    <comment ref="P5" authorId="0" shapeId="0">
      <text>
        <r>
          <rPr>
            <u/>
            <sz val="9"/>
            <color indexed="81"/>
            <rFont val="Tahoma"/>
            <family val="2"/>
            <charset val="238"/>
          </rPr>
          <t>Pociągi towarowe bezpośrednie</t>
        </r>
        <r>
          <rPr>
            <sz val="9"/>
            <color indexed="81"/>
            <rFont val="Tahoma"/>
            <family val="2"/>
            <charset val="238"/>
          </rPr>
          <t xml:space="preserve"> – składają się z tego samego rodzaju wagonów towarowych i przeznaczone są do przewozu jednorodnego rodzaju ładunku w masowych ilościach. Zasadniczo są to pociągi towarowe wahadłowe, których istota przewozu polega na przemieszczaniu się zwartego składu wagonów towarowych z ładunkiem (...). Pomiędzy przewozem ładunków następują – w punktach zwrotnych – operacje załadunku i rozładunku. (Wikipedia, PL) 
A </t>
        </r>
        <r>
          <rPr>
            <u/>
            <sz val="9"/>
            <color indexed="81"/>
            <rFont val="Tahoma"/>
            <family val="2"/>
            <charset val="238"/>
          </rPr>
          <t>unit train</t>
        </r>
        <r>
          <rPr>
            <sz val="9"/>
            <color indexed="81"/>
            <rFont val="Tahoma"/>
            <family val="2"/>
            <charset val="238"/>
          </rPr>
          <t>, also called a </t>
        </r>
        <r>
          <rPr>
            <u/>
            <sz val="9"/>
            <color indexed="81"/>
            <rFont val="Tahoma"/>
            <family val="2"/>
            <charset val="238"/>
          </rPr>
          <t>block train</t>
        </r>
        <r>
          <rPr>
            <sz val="9"/>
            <color indexed="81"/>
            <rFont val="Tahoma"/>
            <family val="2"/>
            <charset val="238"/>
          </rPr>
          <t xml:space="preserve"> or a </t>
        </r>
        <r>
          <rPr>
            <u/>
            <sz val="9"/>
            <color indexed="81"/>
            <rFont val="Tahoma"/>
            <family val="2"/>
            <charset val="238"/>
          </rPr>
          <t>trainload service</t>
        </r>
        <r>
          <rPr>
            <sz val="9"/>
            <color indexed="81"/>
            <rFont val="Tahoma"/>
            <family val="2"/>
            <charset val="238"/>
          </rPr>
          <t xml:space="preserve">, is a train in which all cars carry the same commodity and are shipped from the same origin to the same destination, without being split up or stored en route. (Wikipedia, EN) </t>
        </r>
      </text>
    </comment>
    <comment ref="T5" authorId="0" shapeId="0">
      <text>
        <r>
          <rPr>
            <u/>
            <sz val="9"/>
            <color indexed="81"/>
            <rFont val="Tahoma"/>
            <family val="2"/>
            <charset val="238"/>
          </rPr>
          <t>Pociągi towarowe grupowe</t>
        </r>
        <r>
          <rPr>
            <sz val="9"/>
            <color indexed="81"/>
            <rFont val="Tahoma"/>
            <family val="2"/>
            <charset val="238"/>
          </rPr>
          <t xml:space="preserve"> – zestawione mogą być z tego samego rodzaju wagonów towarowych albo różnych rodzajów wagonów towarowych, ale zgrupowanych według miejsc przeznaczenia, do jakiego dana grupa wagonów będzie kierowana. Może być od dwóch do kilku grup wagonowych w pociągu towarowym. Ten typ pociągu towarowego umożliwia obsługę kilku punktów docelowych ładunku, szczególnie wtedy, gdy część trasy przewozu poszczególnych grup wagonów – od punktu nadania do punktu przeznaczenia – pokrywa się. W trakcie przewozu, w optymalnym do tego celu punkcie, pociąg towarowy grupowy jest dzielony, a grupy wagonowe kierowane są do poszczególnych punktów docelowych jako nowo sformowane pociągi towarowe. (Wikipedia, PL) 
In rail freight transportation the terms </t>
        </r>
        <r>
          <rPr>
            <u/>
            <sz val="9"/>
            <color indexed="81"/>
            <rFont val="Tahoma"/>
            <family val="2"/>
            <charset val="238"/>
          </rPr>
          <t>wagonload</t>
        </r>
        <r>
          <rPr>
            <sz val="9"/>
            <color indexed="81"/>
            <rFont val="Tahoma"/>
            <family val="2"/>
            <charset val="238"/>
          </rPr>
          <t xml:space="preserve"> or </t>
        </r>
        <r>
          <rPr>
            <u/>
            <sz val="9"/>
            <color indexed="81"/>
            <rFont val="Tahoma"/>
            <family val="2"/>
            <charset val="238"/>
          </rPr>
          <t>wagonload freight</t>
        </r>
        <r>
          <rPr>
            <sz val="9"/>
            <color indexed="81"/>
            <rFont val="Tahoma"/>
            <family val="2"/>
            <charset val="238"/>
          </rPr>
          <t xml:space="preserve"> refer to trains made of single wagon consignments of freight. 
With competition from road transport rail freight transport is increasingly operated as unit trains, with wagonload less able to compete with road haulage. 
Wagonload traffic typically consists of individual wagons load with goods at separate locations (goods shed), transferred to marshalling yards where the wagons are sorted by destination, then transported to a destination marshalling yard where individual wagons are separated and collected into trains per destination. (Wikipedia, EN) </t>
        </r>
      </text>
    </comment>
    <comment ref="X5" authorId="0" shapeId="0">
      <text>
        <r>
          <rPr>
            <u/>
            <sz val="9"/>
            <color indexed="81"/>
            <rFont val="Tahoma"/>
            <family val="2"/>
            <charset val="238"/>
          </rPr>
          <t>Pociąg towarowy intermodalny</t>
        </r>
        <r>
          <rPr>
            <sz val="9"/>
            <color indexed="81"/>
            <rFont val="Tahoma"/>
            <family val="2"/>
            <charset val="238"/>
          </rPr>
          <t xml:space="preserve"> – zestawiony z wagonów towarowych przeznaczonych do przewozów jednostek ładunkowych (takich jak kontenery, naczepy samochodowe lub całe samochody ciężarowe). (Wikipedia, PL) </t>
        </r>
      </text>
    </comment>
    <comment ref="Q26" authorId="0" shapeId="0">
      <text>
        <r>
          <rPr>
            <sz val="9"/>
            <color indexed="81"/>
            <rFont val="Tahoma"/>
            <family val="2"/>
            <charset val="238"/>
          </rPr>
          <t xml:space="preserve">W roku 2010 UE liczyła 27 państw członkowskich. 
W połowie roku 2013 dołączyła Chorwacja i odtąd do końca stycznia 2020 roku UE liczyła 28 państw członkowskich. Na koniec stycznia 2020 roku Wielka Brytania opuściła UE. </t>
        </r>
      </text>
    </comment>
  </commentList>
</comments>
</file>

<file path=xl/comments4.xml><?xml version="1.0" encoding="utf-8"?>
<comments xmlns="http://schemas.openxmlformats.org/spreadsheetml/2006/main">
  <authors>
    <author>Piotr Mierzejewski</author>
  </authors>
  <commentList>
    <comment ref="U99" authorId="0" shapeId="0">
      <text>
        <r>
          <rPr>
            <sz val="9"/>
            <color indexed="81"/>
            <rFont val="Tahoma"/>
            <family val="2"/>
            <charset val="238"/>
          </rPr>
          <t xml:space="preserve">W latach projekcji poprzedzających rok 2020 przyjęto koszt jednostkowy na poziomie określonym dla roku 2020 w opracowaniu źródłowym EBI. </t>
        </r>
      </text>
    </comment>
    <comment ref="AY99" authorId="0" shapeId="0">
      <text>
        <r>
          <rPr>
            <sz val="9"/>
            <color indexed="81"/>
            <rFont val="Tahoma"/>
            <family val="2"/>
            <charset val="238"/>
          </rPr>
          <t xml:space="preserve">Przyjęto ostrożne założenie, że w kolejnych latach projekcji koszt jednostkowy nie rośnie powyżej poziomu określonego dla roku 2050 w opracowaniu źródłowym EBI.  </t>
        </r>
      </text>
    </comment>
    <comment ref="Q142" authorId="0" shapeId="0">
      <text>
        <r>
          <rPr>
            <sz val="9"/>
            <color indexed="81"/>
            <rFont val="Tahoma"/>
            <family val="2"/>
            <charset val="238"/>
          </rPr>
          <t>Alternatywne źródło danych (za rok 2018): 
EIB Project Carbon Footprint Methodologies (July 2019), Table A1.3 Country Specific Electricity Emission Factors 
Table A1.3 includes the following information (page 29): 
- The Combined Margin for intermittent electricity generation, which should be used to calculate the baseline emissions for intermittent electricity generation such as solar, wind and tidal electricity generation. [</t>
        </r>
        <r>
          <rPr>
            <i/>
            <sz val="9"/>
            <color indexed="81"/>
            <rFont val="Tahoma"/>
            <family val="2"/>
            <charset val="238"/>
          </rPr>
          <t>i.e. not for energy consumption, such as charging electric vehicles</t>
        </r>
        <r>
          <rPr>
            <sz val="9"/>
            <color indexed="81"/>
            <rFont val="Tahoma"/>
            <family val="2"/>
            <charset val="238"/>
          </rPr>
          <t xml:space="preserve">] 
- The Combined Margin for firm electricity generation, which should be used to calculate the baseline emissions for firm electricity generation such as hydro, geothermal and conventional fossil fuel powered electricity generation, electricity consumption, and electricity savings from energy efficiency measures. 
- The emission factors for electricity consumption, including network losses. These emission factors for electricity consumption are used solely as the reference value for the calculation of electricity consumption and for transmission and distribution (T&amp;D) losses and should not be used for the calculation of emissions from electricity generation projects. Where actual T&amp;D losses are known, these can be used instead, as long as the sources are well documented.
</t>
        </r>
        <r>
          <rPr>
            <b/>
            <sz val="9"/>
            <color indexed="81"/>
            <rFont val="Tahoma"/>
            <family val="2"/>
            <charset val="238"/>
          </rPr>
          <t xml:space="preserve">Poland (page 33) </t>
        </r>
        <r>
          <rPr>
            <sz val="9"/>
            <color indexed="81"/>
            <rFont val="Tahoma"/>
            <family val="2"/>
            <charset val="238"/>
          </rPr>
          <t xml:space="preserve">
765 gCO2/kWh (EU-28: 399) - Combined Margin Intermittent Electricity Generation 
568 gCO2/kWh (EU-28: 266) - Combined Margin Firm Electricity Generation/ Electricity Consumption 
579 gCO2/kWh (EU-28: 271) - Electricity Consumption/ Network Losses High Voltage (HV) Grid +2% 
591 gCO2/kWh (EU-28: 277) - Electricity Consumption/ Network Losses Medium Voltage (MV) Grid +4% 
608 gCO2/kWh (EU-28: 285) - Electricity Consumption/ Network Losses Low Voltage (LV) Grid +7% 
Dla projektów transportowych należy używać następujących wskaźników emisyjności sieciowej energii elektrycznej: 
  Samochody elektryczne, tj. LDV (w tym samochody osobowe i samochody dostawcze) oraz HDV (w tym samochody ciężarowe i autobusy): sieć NN 
  Ładowanie samochodów elektrycznych: sieć NN (zasilanie wyższą energią prawdopodobnie z sieci SN – do weryfikacji przy analizie i ocenie danego projektu) 
  Pociągi elektryczne i projekty dotyczące konwencjonalnej infrastruktury kolejowej: 
    &gt;15 kV: sieć WN 
    3 kV: sieć SN 
  Pociągi dużej prędkości i infrastruktura kolei dużych prędkości: sieć WN 
  Tramwaje, metro, lekka kolej: sieć SN 
Według KOBiZE, wskaźnik emisyjności CO2 dla sieciowej energii elektrycznej za rok 2018 (analogicznie jak w "EIB Project Carbon Footprint Methodologies", lipiec 2019) wynosił </t>
        </r>
        <r>
          <rPr>
            <u/>
            <sz val="9"/>
            <color indexed="81"/>
            <rFont val="Tahoma"/>
            <family val="2"/>
            <charset val="238"/>
          </rPr>
          <t>765 kg/MWh</t>
        </r>
        <r>
          <rPr>
            <sz val="9"/>
            <color indexed="81"/>
            <rFont val="Tahoma"/>
            <family val="2"/>
            <charset val="238"/>
          </rPr>
          <t xml:space="preserve">. 
Ta sama wartość wskaźnika występuje również w "EIB Project Carbon Footprint Methodologies" (lipiec 2019), jako dotycząca </t>
        </r>
        <r>
          <rPr>
            <u/>
            <sz val="9"/>
            <color indexed="81"/>
            <rFont val="Tahoma"/>
            <family val="2"/>
            <charset val="238"/>
          </rPr>
          <t>wytwarzania</t>
        </r>
        <r>
          <rPr>
            <sz val="9"/>
            <color indexed="81"/>
            <rFont val="Tahoma"/>
            <family val="2"/>
            <charset val="238"/>
          </rPr>
          <t xml:space="preserve"> energii elektrycznej ze źródeł niestabilnych (jak np. instalacje fotowoltaiczne, wiatrowe itp.) – która nie jest stosowna dla </t>
        </r>
        <r>
          <rPr>
            <u/>
            <sz val="9"/>
            <color indexed="81"/>
            <rFont val="Tahoma"/>
            <family val="2"/>
            <charset val="238"/>
          </rPr>
          <t>zużycia</t>
        </r>
        <r>
          <rPr>
            <sz val="9"/>
            <color indexed="81"/>
            <rFont val="Tahoma"/>
            <family val="2"/>
            <charset val="238"/>
          </rPr>
          <t xml:space="preserve"> energii, np. do ładowania pojazdów elektrycznych. 
Krajowe wskaźniki emisyjności dla sieciowej energii elektrycznej (national grid factors) są przedstawione w raportach KOBiZE w rozdziale 2, strona 4, tabela "Wskaźniki emisji w [kg/MWh] dla odbiorców końcowych energii elektrycznej". 
Według KOBiZE, wskaźnik emisyjności CO2 dla sieciowej energii elektrycznej za 2019 rok wynosił 719 kg/MWh, tzn. mniej o –6,01% niż w roku 2018. </t>
        </r>
      </text>
    </comment>
    <comment ref="AN177" authorId="0" shapeId="0">
      <text>
        <r>
          <rPr>
            <sz val="9"/>
            <color indexed="81"/>
            <rFont val="Tahoma"/>
            <family val="2"/>
            <charset val="238"/>
          </rPr>
          <t xml:space="preserve">Przyjęto ostrożne założenie, że w kolejnych latach projekcji wskaźniki emisyjności energetyki nie spadają poniżej poziomu obliczonego dla roku 2040. </t>
        </r>
      </text>
    </comment>
  </commentList>
</comments>
</file>

<file path=xl/comments5.xml><?xml version="1.0" encoding="utf-8"?>
<comments xmlns="http://schemas.openxmlformats.org/spreadsheetml/2006/main">
  <authors>
    <author>Piotr Mierzejewski</author>
  </authors>
  <commentList>
    <comment ref="S35" authorId="0" shapeId="0">
      <text>
        <r>
          <rPr>
            <sz val="9"/>
            <color indexed="81"/>
            <rFont val="Tahoma"/>
            <family val="2"/>
            <charset val="238"/>
          </rPr>
          <t>Alternatywne źródło danych (za rok 2018): 
EIB Project Carbon Footprint Methodologies (July 2019), Table A1.3 Country Specific Electricity Emission Factors 
Table A1.3 includes the following information (page 29): 
- The Combined Margin for intermittent electricity generation, which should be used to calculate the baseline emissions for intermittent electricity generation such as solar, wind and tidal electricity generation. [</t>
        </r>
        <r>
          <rPr>
            <i/>
            <sz val="9"/>
            <color indexed="81"/>
            <rFont val="Tahoma"/>
            <family val="2"/>
            <charset val="238"/>
          </rPr>
          <t>i.e. not for energy consumption, such as charging electric vehicles</t>
        </r>
        <r>
          <rPr>
            <sz val="9"/>
            <color indexed="81"/>
            <rFont val="Tahoma"/>
            <family val="2"/>
            <charset val="238"/>
          </rPr>
          <t xml:space="preserve">] 
- The Combined Margin for firm electricity generation, which should be used to calculate the baseline emissions for firm electricity generation such as hydro, geothermal and conventional fossil fuel powered electricity generation, electricity consumption, and electricity savings from energy efficiency measures. 
- The emission factors for electricity consumption, including network losses. These emission factors for electricity consumption are used solely as the reference value for the calculation of electricity consumption and for transmission and distribution (T&amp;D) losses and should not be used for the calculation of emissions from electricity generation projects. Where actual T&amp;D losses are known, these can be used instead, as long as the sources are well documented.
</t>
        </r>
        <r>
          <rPr>
            <b/>
            <sz val="9"/>
            <color indexed="81"/>
            <rFont val="Tahoma"/>
            <family val="2"/>
            <charset val="238"/>
          </rPr>
          <t xml:space="preserve">Poland (page 33) </t>
        </r>
        <r>
          <rPr>
            <sz val="9"/>
            <color indexed="81"/>
            <rFont val="Tahoma"/>
            <family val="2"/>
            <charset val="238"/>
          </rPr>
          <t xml:space="preserve">
765 gCO2/kWh (EU-28: 399) - Combined Margin Intermittent Electricity Generation 
568 gCO2/kWh (EU-28: 266) - Combined Margin Firm Electricity Generation/ Electricity Consumption 
579 gCO2/kWh (EU-28: 271) - Electricity Consumption/ Network Losses High Voltage (HV) Grid +2% 
591 gCO2/kWh (EU-28: 277) - Electricity Consumption/ Network Losses Medium Voltage (MV) Grid +4% 
608 gCO2/kWh (EU-28: 285) - Electricity Consumption/ Network Losses Low Voltage (LV) Grid +7% 
Dla projektów transportowych należy używać następujących wskaźników emisyjności sieciowej energii elektrycznej: 
  Samochody elektryczne, tj. LDV (w tym samochody osobowe i samochody dostawcze) oraz HDV (w tym samochody ciężarowe i autobusy): sieć NN 
  Ładowanie samochodów elektrycznych: sieć NN (zasilanie wyższą energią prawdopodobnie z sieci SN – do weryfikacji przy analizie i ocenie danego projektu) 
  Pociągi elektryczne i projekty dotyczące konwencjonalnej infrastruktury kolejowej: 
    &gt;15 kV: sieć WN 
    3 kV: sieć SN 
  Pociągi dużej prędkości i infrastruktura kolei dużych prędkości: sieć WN 
  Tramwaje, metro, lekka kolej: sieć SN 
Według KOBiZE, wskaźnik emisyjności CO2 dla sieciowej energii elektrycznej za rok 2018 (analogicznie jak w "EIB Project Carbon Footprint Methodologies", lipiec 2019) wynosił </t>
        </r>
        <r>
          <rPr>
            <u/>
            <sz val="9"/>
            <color indexed="81"/>
            <rFont val="Tahoma"/>
            <family val="2"/>
            <charset val="238"/>
          </rPr>
          <t>765 kg/MWh</t>
        </r>
        <r>
          <rPr>
            <sz val="9"/>
            <color indexed="81"/>
            <rFont val="Tahoma"/>
            <family val="2"/>
            <charset val="238"/>
          </rPr>
          <t xml:space="preserve">. 
Ta sama wartość wskaźnika występuje również w "EIB Project Carbon Footprint Methodologies" (lipiec 2019), jako dotycząca </t>
        </r>
        <r>
          <rPr>
            <u/>
            <sz val="9"/>
            <color indexed="81"/>
            <rFont val="Tahoma"/>
            <family val="2"/>
            <charset val="238"/>
          </rPr>
          <t>wytwarzania</t>
        </r>
        <r>
          <rPr>
            <sz val="9"/>
            <color indexed="81"/>
            <rFont val="Tahoma"/>
            <family val="2"/>
            <charset val="238"/>
          </rPr>
          <t xml:space="preserve"> energii elektrycznej ze źródeł niestabilnych (jak np. instalacje fotowoltaiczne, wiatrowe itp.) – która nie jest stosowna dla </t>
        </r>
        <r>
          <rPr>
            <u/>
            <sz val="9"/>
            <color indexed="81"/>
            <rFont val="Tahoma"/>
            <family val="2"/>
            <charset val="238"/>
          </rPr>
          <t>zużycia</t>
        </r>
        <r>
          <rPr>
            <sz val="9"/>
            <color indexed="81"/>
            <rFont val="Tahoma"/>
            <family val="2"/>
            <charset val="238"/>
          </rPr>
          <t xml:space="preserve"> energii, np. do ładowania pojazdów elektrycznych. 
Krajowe wskaźniki emisyjności dla sieciowej energii elektrycznej (national grid factors) są przedstawione w raportach KOBiZE w rozdziale 2, strona 4, tabela "Wskaźniki emisji w [kg/MWh] dla odbiorców końcowych energii elektrycznej". 
Według KOBiZE, wskaźnik emisyjności CO2 dla sieciowej energii elektrycznej za 2019 rok wynosił 719 kg/MWh, tzn. mniej o –6,01% niż w roku 2018. </t>
        </r>
      </text>
    </comment>
    <comment ref="P71" authorId="0" shapeId="0">
      <text>
        <r>
          <rPr>
            <sz val="9"/>
            <color indexed="81"/>
            <rFont val="Tahoma"/>
            <family val="2"/>
            <charset val="238"/>
          </rPr>
          <t xml:space="preserve">Uwaga, dla pociągów osobowych zużycie energii i emisje są określone na miejsco-kilometr. </t>
        </r>
      </text>
    </comment>
    <comment ref="B104" authorId="0" shapeId="0">
      <text>
        <r>
          <rPr>
            <sz val="9"/>
            <color indexed="81"/>
            <rFont val="Tahoma"/>
            <family val="2"/>
            <charset val="238"/>
          </rPr>
          <t xml:space="preserve">Uwaga, dla pociągów osobowych zużycie energii i emisje są określone na miejsco-kilometr. </t>
        </r>
      </text>
    </comment>
  </commentList>
</comments>
</file>

<file path=xl/comments6.xml><?xml version="1.0" encoding="utf-8"?>
<comments xmlns="http://schemas.openxmlformats.org/spreadsheetml/2006/main">
  <authors>
    <author>Piotr Mierzejewski</author>
  </authors>
  <commentList>
    <comment ref="S35" authorId="0" shapeId="0">
      <text>
        <r>
          <rPr>
            <sz val="9"/>
            <color indexed="81"/>
            <rFont val="Tahoma"/>
            <family val="2"/>
            <charset val="238"/>
          </rPr>
          <t xml:space="preserve">Proporcja Polska/ UE-28 obliczona na podstawie średnich kosztów jednostkowych, zastosowana do krańcowych kosztów jednostkowych. </t>
        </r>
      </text>
    </comment>
    <comment ref="Q67" authorId="0" shapeId="0">
      <text>
        <r>
          <rPr>
            <sz val="9"/>
            <color indexed="81"/>
            <rFont val="Tahoma"/>
            <family val="2"/>
            <charset val="238"/>
          </rPr>
          <t xml:space="preserve">W opracowaniu źródłowym brak wartości parametru dla samochodów dostawczych ogółem dla Polski, są natomiast parametry określone osobno dla samochodów dostawczych z silnikiem benzynowym i z silnikiem wysokoprężnym. Zastosowano więc </t>
        </r>
        <r>
          <rPr>
            <u/>
            <sz val="9"/>
            <color indexed="81"/>
            <rFont val="Tahoma"/>
            <family val="2"/>
            <charset val="238"/>
          </rPr>
          <t>średnią ważoną</t>
        </r>
        <r>
          <rPr>
            <sz val="9"/>
            <color indexed="81"/>
            <rFont val="Tahoma"/>
            <family val="2"/>
            <charset val="238"/>
          </rPr>
          <t xml:space="preserve"> z wykorzystaniem dostępnych danych o pracy eksploatacyjnej tej kategorii samochodów w Polsce, z uwzględnieniem podziału według rodzaju paliwa. </t>
        </r>
      </text>
    </comment>
  </commentList>
</comments>
</file>

<file path=xl/comments7.xml><?xml version="1.0" encoding="utf-8"?>
<comments xmlns="http://schemas.openxmlformats.org/spreadsheetml/2006/main">
  <authors>
    <author>Piotr Mierzejewski</author>
  </authors>
  <commentList>
    <comment ref="S6" authorId="0" shapeId="0">
      <text>
        <r>
          <rPr>
            <sz val="9"/>
            <color indexed="81"/>
            <rFont val="Tahoma"/>
            <family val="2"/>
            <charset val="238"/>
          </rPr>
          <t xml:space="preserve">Proporcja Polska/ UE-28 obliczona na podstawie średnich kosztów jednostkowych, zastosowana do krańcowych kosztów jednostkowych. </t>
        </r>
      </text>
    </comment>
  </commentList>
</comments>
</file>

<file path=xl/comments8.xml><?xml version="1.0" encoding="utf-8"?>
<comments xmlns="http://schemas.openxmlformats.org/spreadsheetml/2006/main">
  <authors>
    <author>Piotr Mierzejewski</author>
  </authors>
  <commentList>
    <comment ref="A11" authorId="0" shapeId="0">
      <text>
        <r>
          <rPr>
            <sz val="9"/>
            <color indexed="81"/>
            <rFont val="Tahoma"/>
            <family val="2"/>
            <charset val="238"/>
          </rPr>
          <t xml:space="preserve">W źródłowym opracowaniu Handbook on the External Costs of Transport, EC (2019) i w załączonych do niego plikach </t>
        </r>
        <r>
          <rPr>
            <u/>
            <sz val="9"/>
            <color indexed="81"/>
            <rFont val="Tahoma"/>
            <family val="2"/>
            <charset val="238"/>
          </rPr>
          <t>brak współczynników jednostkowej emisyjności środków transportu</t>
        </r>
        <r>
          <rPr>
            <sz val="9"/>
            <color indexed="81"/>
            <rFont val="Tahoma"/>
            <family val="2"/>
            <charset val="238"/>
          </rPr>
          <t xml:space="preserve"> pod względem poszczególnych rodzajów zanieczyszczeń powietrza [t / poj-km] (por. pkt 4.3.2 Input values, Table 13 – Data sources for the emissions of air pollutants for different transport modes). Brak też danych potrzebnych do określenia tych współczynników. Stąd ograniczenie w zastosowaniu poniższych stawek tylko do niektórych typów projektów, w których emisyjność środków transportu jest w ich specyfikacji. 
Dane dostępne w alternatywnym opracowaniu źródłowym „Opracowanie metodyki i oszacowanie kosztów zewnętrznych emisji zanieczyszczeń do powietrza atmosferycznego ze środków transportu drogowego na poziomie kraju”, GUS, 2018 (data publikacji: 26.02.2019), tzn. [1] Ilość zanieczyszczeń z transportu drogowego według rodzaju pojazdów oraz [2] liczba i średni przebieg roczny rodzajów pojazdów drogowych </t>
        </r>
        <r>
          <rPr>
            <u/>
            <sz val="9"/>
            <color indexed="81"/>
            <rFont val="Tahoma"/>
            <family val="2"/>
            <charset val="238"/>
          </rPr>
          <t>pozwalają na obliczenie współczynników jednostkowej emisyjności pojazdów drogowych</t>
        </r>
        <r>
          <rPr>
            <sz val="9"/>
            <color indexed="81"/>
            <rFont val="Tahoma"/>
            <family val="2"/>
            <charset val="238"/>
          </rPr>
          <t xml:space="preserve"> pod względem poszczególnych rodzajów zanieczyszczeń powietrza [t / poj-km], ale bez emisji NH3 i SO2 (dla których są koszty jednostkowe [€/kg emisji] w ECT Handbook 2019). Dane te umożliwiają też obliczenie współczynników emisyjności CO, dla którego jednak brak kosztu jednostkowego w ECT Handbook 2019. </t>
        </r>
      </text>
    </comment>
  </commentList>
</comments>
</file>

<file path=xl/comments9.xml><?xml version="1.0" encoding="utf-8"?>
<comments xmlns="http://schemas.openxmlformats.org/spreadsheetml/2006/main">
  <authors>
    <author>Piotr Mierzejewski</author>
  </authors>
  <commentList>
    <comment ref="T20" authorId="0" shapeId="0">
      <text>
        <r>
          <rPr>
            <sz val="9"/>
            <color indexed="81"/>
            <rFont val="Tahoma"/>
            <family val="2"/>
            <charset val="238"/>
          </rPr>
          <t xml:space="preserve">Proporcja Polska/ UE-28 obliczona na podstawie średnich kosztów jednostkowych, zastosowana do krańcowych kosztów jednostkowych. </t>
        </r>
      </text>
    </comment>
    <comment ref="T49" authorId="0" shapeId="0">
      <text>
        <r>
          <rPr>
            <sz val="9"/>
            <color indexed="81"/>
            <rFont val="Tahoma"/>
            <family val="2"/>
            <charset val="238"/>
          </rPr>
          <t xml:space="preserve">W opracowaniu źródłowym brak wartości parametru dla pociągów pasażerskich międzyaglomeracyjnych. Zastępczo zastosowano </t>
        </r>
        <r>
          <rPr>
            <u/>
            <sz val="9"/>
            <color indexed="81"/>
            <rFont val="Tahoma"/>
            <family val="2"/>
            <charset val="238"/>
          </rPr>
          <t>średnią arytmetyczną</t>
        </r>
        <r>
          <rPr>
            <sz val="9"/>
            <color indexed="81"/>
            <rFont val="Tahoma"/>
            <family val="2"/>
            <charset val="238"/>
          </rPr>
          <t xml:space="preserve"> dla pociągów pasażerskich elektrycznych i spalinowych. </t>
        </r>
      </text>
    </comment>
    <comment ref="T53" authorId="0" shapeId="0">
      <text>
        <r>
          <rPr>
            <sz val="9"/>
            <color indexed="81"/>
            <rFont val="Tahoma"/>
            <family val="2"/>
            <charset val="238"/>
          </rPr>
          <t xml:space="preserve">W opracowaniu źródłowym brak wartości parametru dla pociągów towarowych ogółem. Zastępczo zastosowano </t>
        </r>
        <r>
          <rPr>
            <u/>
            <sz val="9"/>
            <color indexed="81"/>
            <rFont val="Tahoma"/>
            <family val="2"/>
            <charset val="238"/>
          </rPr>
          <t>średnią arytmetyczną</t>
        </r>
        <r>
          <rPr>
            <sz val="9"/>
            <color indexed="81"/>
            <rFont val="Tahoma"/>
            <family val="2"/>
            <charset val="238"/>
          </rPr>
          <t xml:space="preserve"> dla pociągów towarowych elektrycznych i spalinowych. </t>
        </r>
      </text>
    </comment>
  </commentList>
</comments>
</file>

<file path=xl/sharedStrings.xml><?xml version="1.0" encoding="utf-8"?>
<sst xmlns="http://schemas.openxmlformats.org/spreadsheetml/2006/main" count="2002" uniqueCount="925">
  <si>
    <t>Koniec roku:</t>
  </si>
  <si>
    <t>Koszty jednostkowe zmian klimatu</t>
  </si>
  <si>
    <t>Kurs wymiany (średnioroczny)</t>
  </si>
  <si>
    <t>EUR/PLN</t>
  </si>
  <si>
    <t>Źródło: ECB, http://sdw.ecb.europa.eu/quickview.do?SERIES_KEY=120.EXR.A.PLN.EUR.SP00.A</t>
  </si>
  <si>
    <t>Inflacja średnioroczna CPI dla Polski</t>
  </si>
  <si>
    <t>HGV</t>
  </si>
  <si>
    <t>Teren płaski</t>
  </si>
  <si>
    <t>Nawierzchnia nowa</t>
  </si>
  <si>
    <t>Nawierzchnia zdegradowana</t>
  </si>
  <si>
    <t>LV</t>
  </si>
  <si>
    <t>km/h</t>
  </si>
  <si>
    <t>Falisty</t>
  </si>
  <si>
    <t>Płaski</t>
  </si>
  <si>
    <t>0-10</t>
  </si>
  <si>
    <t>131-140</t>
  </si>
  <si>
    <t>Inflacja średnioroczna CPI dla Polski, GUS, wskaźnik (rok poprzedni =100)</t>
  </si>
  <si>
    <t>Zmiana liczby ludności, wskaźnik (rok poprzedni =1)</t>
  </si>
  <si>
    <t>Zmiana liczby ludności Polski, wskaźnik (rok poprzedni =1)</t>
  </si>
  <si>
    <t>Źródło: GUS, Prognoza ludności na lata 2014-2050, 2014</t>
  </si>
  <si>
    <t xml:space="preserve">Przyjęto założenie, że po roku 2050 liczba ludności Polski będzie malała w takim samym tempie, jak średnio w latach 2041-2050. </t>
  </si>
  <si>
    <t>Źródło: Opracowanie własne CUPT</t>
  </si>
  <si>
    <r>
      <t xml:space="preserve">WSPÓŁCZYNNIKI INDEKSACJI WARTOŚCI PIENIĘŻNYCH </t>
    </r>
    <r>
      <rPr>
        <b/>
        <u/>
        <sz val="12"/>
        <rFont val="Calibri"/>
        <family val="2"/>
        <charset val="238"/>
        <scheme val="minor"/>
      </rPr>
      <t>NA KONIEC DANEGO ROKU</t>
    </r>
  </si>
  <si>
    <t>Jest tak, ponieważ wg wytycznych dot. AKK przy dyskontowaniu przyjmuje się, że przepływy pieniężne przypadają na początek okresów rocznych (dla roku bazowego współczynnik dyskonta wynosi 1).</t>
  </si>
  <si>
    <t>DANE ŹRÓDŁOWE</t>
  </si>
  <si>
    <t>Źródło: Obliczenia własne CUPT na podst. GUS, https://stat.gov.pl/wskazniki-makroekonomiczne/</t>
  </si>
  <si>
    <t>EUR/PLN kurs wymiany (średnioroczny)</t>
  </si>
  <si>
    <t>11-20</t>
  </si>
  <si>
    <t>21-30</t>
  </si>
  <si>
    <t>31-40</t>
  </si>
  <si>
    <t>41-50</t>
  </si>
  <si>
    <t>51-60</t>
  </si>
  <si>
    <t>61-70</t>
  </si>
  <si>
    <t>71-80</t>
  </si>
  <si>
    <t>81-90</t>
  </si>
  <si>
    <t>91-100</t>
  </si>
  <si>
    <t>101-110</t>
  </si>
  <si>
    <t>111-120</t>
  </si>
  <si>
    <t>121-130</t>
  </si>
  <si>
    <t>VOC, koszty eksploatacji pojazdów</t>
  </si>
  <si>
    <t>inflacja PL do roku bazowego</t>
  </si>
  <si>
    <r>
      <t>Stawka jednostkowa, 
PLN /tCO</t>
    </r>
    <r>
      <rPr>
        <vertAlign val="subscript"/>
        <sz val="11"/>
        <color theme="1"/>
        <rFont val="Calibri"/>
        <family val="2"/>
        <charset val="238"/>
        <scheme val="minor"/>
      </rPr>
      <t>2</t>
    </r>
    <r>
      <rPr>
        <sz val="11"/>
        <color theme="1"/>
        <rFont val="Calibri"/>
        <family val="2"/>
        <charset val="238"/>
        <scheme val="minor"/>
      </rPr>
      <t>e indeksowane na koniec danego roku</t>
    </r>
  </si>
  <si>
    <t>[PLN/poj-km]</t>
  </si>
  <si>
    <t>Teren</t>
  </si>
  <si>
    <t>Mnożniki nachylenia podłużnego drogi</t>
  </si>
  <si>
    <t>Mnożniki jakości nawierzchni drogi</t>
  </si>
  <si>
    <t>Koszty jednostkowe zmian klimatu, transport drogowy</t>
  </si>
  <si>
    <t>Koszty jednostkowe zmian klimatu, transport kolejowy</t>
  </si>
  <si>
    <t>[PLN/poc-km]</t>
  </si>
  <si>
    <r>
      <t>Rekomendowane przez EBI stawki jednostkowe kosztu ukrytego zmiany klimatu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 dla okresu 2020-2050</t>
    </r>
  </si>
  <si>
    <t>Przelicznik MJ --&gt; kWh</t>
  </si>
  <si>
    <t>Pociągi pasażerskie elektryczne</t>
  </si>
  <si>
    <t>Pociągi towarowe elektryczne</t>
  </si>
  <si>
    <t>Średnio, wszystkie rodzaje</t>
  </si>
  <si>
    <t>Pociągi dużej prędkości</t>
  </si>
  <si>
    <t>Średnio, wszystkie rodzaje 
(1000t - 21 wagonów)</t>
  </si>
  <si>
    <t>Kontenerowe 
(1000t - 21 wagonów)</t>
  </si>
  <si>
    <t>Masowe 
(1000t - 18 wagonów)</t>
  </si>
  <si>
    <t>[PLN/msc-km]</t>
  </si>
  <si>
    <t>Gabarytowe 
(1000t - 26 wagonów)</t>
  </si>
  <si>
    <t>Regionalne/ Podmiejskie</t>
  </si>
  <si>
    <t>Międzyaglomeracyjne</t>
  </si>
  <si>
    <t>J --&gt; MJ</t>
  </si>
  <si>
    <t>W --&gt; kW</t>
  </si>
  <si>
    <t>s --&gt; h</t>
  </si>
  <si>
    <t xml:space="preserve">Pojazdy drogowe, 
elektryczne i hybrydowe-elektryczne: </t>
  </si>
  <si>
    <t>Zużycie energii 
(kWh/ poj-km)</t>
  </si>
  <si>
    <t>Samochód osobowy, hybrydowy benzyna +elektryczny</t>
  </si>
  <si>
    <t>Przeciętnie</t>
  </si>
  <si>
    <t>Obszar miejski</t>
  </si>
  <si>
    <t>Samochód osobowy, elektryczny (średni rozmiar)</t>
  </si>
  <si>
    <t>Samochód osobowy, elektryczny (średni rozmiar), przeciętnie wszystkie warunki ruchu</t>
  </si>
  <si>
    <t>Autobus miejski, hybrydowy diesel +elektryczny (standardowy)</t>
  </si>
  <si>
    <t>Autobus miejski, elektryczny (standardowy)</t>
  </si>
  <si>
    <t>Pociągi pasażerskie, elektryczne:</t>
  </si>
  <si>
    <t>Pociągi towarowe, elektryczne:</t>
  </si>
  <si>
    <t>Zużycie energii 
(MJ/ msc-km)</t>
  </si>
  <si>
    <t>Zużycie energii 
(MJ/ poc-km)</t>
  </si>
  <si>
    <r>
      <t>Wartość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t>
    </r>
  </si>
  <si>
    <t xml:space="preserve">Źródło: Obliczenia własne na podstawie: </t>
  </si>
  <si>
    <t>Polska</t>
  </si>
  <si>
    <r>
      <t>Wskaźniki emisyjności [g CO</t>
    </r>
    <r>
      <rPr>
        <b/>
        <vertAlign val="subscript"/>
        <sz val="11"/>
        <color theme="1"/>
        <rFont val="Calibri"/>
        <family val="2"/>
        <charset val="238"/>
        <scheme val="minor"/>
      </rPr>
      <t>2</t>
    </r>
    <r>
      <rPr>
        <b/>
        <sz val="11"/>
        <color theme="1"/>
        <rFont val="Calibri"/>
        <family val="2"/>
        <charset val="238"/>
        <scheme val="minor"/>
      </rPr>
      <t>(e)/ poj-km]</t>
    </r>
  </si>
  <si>
    <t>Wskaźniki emisyjności transportu</t>
  </si>
  <si>
    <t>Transport drogowy</t>
  </si>
  <si>
    <t>Pierwotne źródło danych wykazane w "EIB Project Carbon Footprint Methodologies": COPERT (narzędzie do obliczania emisji opracowane przez EEA) completed with STREAM (CE DELFT)</t>
  </si>
  <si>
    <t>Pierwotne źródło danych wykazane w "EIB Project Carbon Footprint Methodologies": EcoTransIT 2018</t>
  </si>
  <si>
    <t>Źródło: "EIB Project Carbon Footprint Methodologies", lipiec 2020, Tables A1.7 Transport Emissions Factors - Rail freight transport</t>
  </si>
  <si>
    <t>Transport kolejowy pasażerski</t>
  </si>
  <si>
    <t>Transport kolejowy towarowy</t>
  </si>
  <si>
    <t>Samochody osobowe</t>
  </si>
  <si>
    <t>Rodzaj paliwa</t>
  </si>
  <si>
    <t>Olej napędowy</t>
  </si>
  <si>
    <t>Gaz CNG</t>
  </si>
  <si>
    <t>Gaz LPG</t>
  </si>
  <si>
    <t>Benzyna</t>
  </si>
  <si>
    <t>Elektryczne</t>
  </si>
  <si>
    <t xml:space="preserve">Dla potrzeb analizy projektów przedstawianych do oceny przez CUPT należy przyjąć następujące założenia: </t>
  </si>
  <si>
    <t>koniec 2019</t>
  </si>
  <si>
    <t>Gaz ciekły (LPG)</t>
  </si>
  <si>
    <t>Gaz ziemny sprężony (CNG)</t>
  </si>
  <si>
    <t>Energia elektryczna</t>
  </si>
  <si>
    <t>RAZEM</t>
  </si>
  <si>
    <t>Ciągniki siodłowe</t>
  </si>
  <si>
    <t>Autobusy 
(oprócz miejskich)</t>
  </si>
  <si>
    <t>Suma powyższych</t>
  </si>
  <si>
    <t>Struktura floty pojazdów LV</t>
  </si>
  <si>
    <t>Struktura floty pojazdów HGV</t>
  </si>
  <si>
    <t>Spalinowe (olej napędowy)</t>
  </si>
  <si>
    <t>Hybrydowe (paliwa +elektryczne)</t>
  </si>
  <si>
    <t>Źródło: Obliczenia własne</t>
  </si>
  <si>
    <t>Koszty jednostkowe eksploatacji pojazdów w transporcie drogowym</t>
  </si>
  <si>
    <t>Samoch. ciężarowe</t>
  </si>
  <si>
    <t>Inflacja średnioroczna CPI dla Polski, skumulowana od 2019</t>
  </si>
  <si>
    <t>PLN/kWh</t>
  </si>
  <si>
    <t>Źródło: Eurostat, Electricity prices components for non-household consumers - annual data, https://ec.europa.eu/eurostat/databrowser/view/NRG_PC_205_C__custom_519166/default/table?lang=en</t>
  </si>
  <si>
    <t>Energia elektryczna dla konsumentów nie będących gospodarstwami domowymi, średnia ważona dla wszystkich poziomów zużycia</t>
  </si>
  <si>
    <t>Zużycie energii 
(kWh/ msc-km)</t>
  </si>
  <si>
    <t>Zużycie energii 
(kWh/ poc-km)</t>
  </si>
  <si>
    <t>Zużycie energii 
(MJ/ poj-km)</t>
  </si>
  <si>
    <t>Koszt jednostkowy energii elektrycznej do silników samochodowych</t>
  </si>
  <si>
    <t>Koszty jednostkowe posiadania samochodu elektrycznego</t>
  </si>
  <si>
    <t>[PLN/ poj-km]</t>
  </si>
  <si>
    <t>LV spalinowe</t>
  </si>
  <si>
    <t>HGV spalinowe</t>
  </si>
  <si>
    <t>LV elektryczne</t>
  </si>
  <si>
    <t>Autobus miejski</t>
  </si>
  <si>
    <t>Mnożniki do uwzględnienia</t>
  </si>
  <si>
    <t>Nawierzchnia</t>
  </si>
  <si>
    <t>Nowa</t>
  </si>
  <si>
    <t>Zdegradowana</t>
  </si>
  <si>
    <t>Struktura floty samochodów ciężarowych</t>
  </si>
  <si>
    <t>Scenariusz ETSeq:</t>
  </si>
  <si>
    <t>Scenariusz TechPro:</t>
  </si>
  <si>
    <t>Scenariusz ProETSeq:</t>
  </si>
  <si>
    <t>Struktura floty samochodów osobowych, przyjęty scenariusz Bazowy</t>
  </si>
  <si>
    <t>Struktura floty samochodów osobowych, Scenariusz Bazowy:</t>
  </si>
  <si>
    <t>Koszty jednostkowe zanieczyszczenia powietrza, transport drogowy</t>
  </si>
  <si>
    <t>Drogi szybkiego ruchu (A, S)</t>
  </si>
  <si>
    <t>€-cent/ poj-km (€2016)</t>
  </si>
  <si>
    <t>Gaz</t>
  </si>
  <si>
    <t>Autobusy miejskie, spalinowe</t>
  </si>
  <si>
    <t>Samochody osobowe, spalinowe</t>
  </si>
  <si>
    <t>PLN/ poj-km</t>
  </si>
  <si>
    <t>Przelicznik €-cent --&gt; €</t>
  </si>
  <si>
    <t xml:space="preserve">Według opracowania źródłowego, poniższe mnożniki dotyczą wszystkich kategorii kosztów użytkowników dróg, oprócz kosztów czasu. </t>
  </si>
  <si>
    <t>Drogi miejskie inne niż A, S</t>
  </si>
  <si>
    <t>Drogi zamiejskie inne niż A, S</t>
  </si>
  <si>
    <t>&lt;50 km/h</t>
  </si>
  <si>
    <t>&gt;100 km/h</t>
  </si>
  <si>
    <r>
      <t>NO</t>
    </r>
    <r>
      <rPr>
        <vertAlign val="subscript"/>
        <sz val="11"/>
        <color theme="1"/>
        <rFont val="Calibri"/>
        <family val="2"/>
        <charset val="238"/>
        <scheme val="minor"/>
      </rPr>
      <t>x</t>
    </r>
  </si>
  <si>
    <t>NMVOC</t>
  </si>
  <si>
    <r>
      <t>SO</t>
    </r>
    <r>
      <rPr>
        <vertAlign val="subscript"/>
        <sz val="11"/>
        <color theme="1"/>
        <rFont val="Calibri"/>
        <family val="2"/>
        <charset val="238"/>
        <scheme val="minor"/>
      </rPr>
      <t>2</t>
    </r>
  </si>
  <si>
    <r>
      <t>PM</t>
    </r>
    <r>
      <rPr>
        <vertAlign val="subscript"/>
        <sz val="11"/>
        <color theme="1"/>
        <rFont val="Calibri"/>
        <family val="2"/>
        <charset val="238"/>
        <scheme val="minor"/>
      </rPr>
      <t>2.5</t>
    </r>
  </si>
  <si>
    <t>€2016/kg</t>
  </si>
  <si>
    <r>
      <t>NH</t>
    </r>
    <r>
      <rPr>
        <vertAlign val="subscript"/>
        <sz val="11"/>
        <color theme="1"/>
        <rFont val="Calibri"/>
        <family val="2"/>
        <charset val="238"/>
        <scheme val="minor"/>
      </rPr>
      <t>3</t>
    </r>
  </si>
  <si>
    <r>
      <t>PM</t>
    </r>
    <r>
      <rPr>
        <vertAlign val="subscript"/>
        <sz val="11"/>
        <color theme="1"/>
        <rFont val="Calibri"/>
        <family val="2"/>
        <charset val="238"/>
        <scheme val="minor"/>
      </rPr>
      <t>10</t>
    </r>
  </si>
  <si>
    <t>transport</t>
  </si>
  <si>
    <t>city (*)</t>
  </si>
  <si>
    <t>rural (*)</t>
  </si>
  <si>
    <t>metropole (*)</t>
  </si>
  <si>
    <t>average (**)</t>
  </si>
  <si>
    <t>EU-28</t>
  </si>
  <si>
    <t>Poland</t>
  </si>
  <si>
    <r>
      <t xml:space="preserve">Zestawienie uwzględnia </t>
    </r>
    <r>
      <rPr>
        <u/>
        <sz val="11"/>
        <color theme="1"/>
        <rFont val="Calibri"/>
        <family val="2"/>
        <charset val="238"/>
        <scheme val="minor"/>
      </rPr>
      <t>koszty jednostkowe średnie</t>
    </r>
    <r>
      <rPr>
        <sz val="11"/>
        <color theme="1"/>
        <rFont val="Calibri"/>
        <family val="2"/>
        <charset val="238"/>
        <scheme val="minor"/>
      </rPr>
      <t xml:space="preserve"> (nie krańcowe). </t>
    </r>
  </si>
  <si>
    <r>
      <t>NO</t>
    </r>
    <r>
      <rPr>
        <vertAlign val="subscript"/>
        <sz val="11"/>
        <color theme="1"/>
        <rFont val="Calibri"/>
        <family val="2"/>
        <charset val="238"/>
        <scheme val="minor"/>
      </rPr>
      <t>x</t>
    </r>
    <r>
      <rPr>
        <sz val="11"/>
        <color theme="1"/>
        <rFont val="Calibri"/>
        <family val="2"/>
        <charset val="238"/>
        <scheme val="minor"/>
      </rPr>
      <t xml:space="preserve"> transport, obszar miejski</t>
    </r>
  </si>
  <si>
    <r>
      <t>NO</t>
    </r>
    <r>
      <rPr>
        <vertAlign val="subscript"/>
        <sz val="11"/>
        <color theme="1"/>
        <rFont val="Calibri"/>
        <family val="2"/>
        <charset val="238"/>
        <scheme val="minor"/>
      </rPr>
      <t>x</t>
    </r>
    <r>
      <rPr>
        <sz val="11"/>
        <color theme="1"/>
        <rFont val="Calibri"/>
        <family val="2"/>
        <charset val="238"/>
        <scheme val="minor"/>
      </rPr>
      <t xml:space="preserve"> transport, obszar zamiejski</t>
    </r>
  </si>
  <si>
    <r>
      <t>PM</t>
    </r>
    <r>
      <rPr>
        <vertAlign val="subscript"/>
        <sz val="11"/>
        <color theme="1"/>
        <rFont val="Calibri"/>
        <family val="2"/>
        <charset val="238"/>
        <scheme val="minor"/>
      </rPr>
      <t>2.5</t>
    </r>
    <r>
      <rPr>
        <sz val="11"/>
        <color theme="1"/>
        <rFont val="Calibri"/>
        <family val="2"/>
        <charset val="238"/>
        <scheme val="minor"/>
      </rPr>
      <t xml:space="preserve"> transport, obszar miejski</t>
    </r>
  </si>
  <si>
    <r>
      <t>PM</t>
    </r>
    <r>
      <rPr>
        <vertAlign val="subscript"/>
        <sz val="11"/>
        <color theme="1"/>
        <rFont val="Calibri"/>
        <family val="2"/>
        <charset val="238"/>
        <scheme val="minor"/>
      </rPr>
      <t>2.5</t>
    </r>
    <r>
      <rPr>
        <sz val="11"/>
        <color theme="1"/>
        <rFont val="Calibri"/>
        <family val="2"/>
        <charset val="238"/>
        <scheme val="minor"/>
      </rPr>
      <t xml:space="preserve"> transport, obszar zamiejski</t>
    </r>
  </si>
  <si>
    <r>
      <t>PM</t>
    </r>
    <r>
      <rPr>
        <vertAlign val="subscript"/>
        <sz val="11"/>
        <color theme="1"/>
        <rFont val="Calibri"/>
        <family val="2"/>
        <charset val="238"/>
        <scheme val="minor"/>
      </rPr>
      <t>10</t>
    </r>
    <r>
      <rPr>
        <sz val="11"/>
        <color theme="1"/>
        <rFont val="Calibri"/>
        <family val="2"/>
        <charset val="238"/>
        <scheme val="minor"/>
      </rPr>
      <t xml:space="preserve"> transport średnio</t>
    </r>
  </si>
  <si>
    <t>Samochody ciężarowe, spalinowe (olej napędowy)</t>
  </si>
  <si>
    <t>LV elektryczne i hybrydowe-elektryczne</t>
  </si>
  <si>
    <t>HGV spalinowe (olej napędowy)</t>
  </si>
  <si>
    <t>Pojazdy drogowe spalinowe</t>
  </si>
  <si>
    <t>Autobusy miejskie elektryczne</t>
  </si>
  <si>
    <t>Jednostkowe koszty eksploatacji pojazdów [PLN/pojkm]</t>
  </si>
  <si>
    <t xml:space="preserve">Podane stawki jednostkowe kosztów obejmują: </t>
  </si>
  <si>
    <t>Koszty jednostkowe hałasu w transporcie lądowym</t>
  </si>
  <si>
    <t>autokary</t>
  </si>
  <si>
    <t>Udziały rodzajów pojazdów do określenia uśrednionych stawek kosztów jednostkowych</t>
  </si>
  <si>
    <t>autobusy miejskie (*)</t>
  </si>
  <si>
    <t>Samochody ciężarowe</t>
  </si>
  <si>
    <t>Kategoria</t>
  </si>
  <si>
    <t>Klasa</t>
  </si>
  <si>
    <t>Liczba</t>
  </si>
  <si>
    <t>Średni przebieg roczny</t>
  </si>
  <si>
    <t>szt.</t>
  </si>
  <si>
    <t>km</t>
  </si>
  <si>
    <t>poj-km</t>
  </si>
  <si>
    <t>Zagospodarowanie obszaru</t>
  </si>
  <si>
    <t>Miejski</t>
  </si>
  <si>
    <t>Zamiejski</t>
  </si>
  <si>
    <t>€-cent/ poj-km</t>
  </si>
  <si>
    <t>Samochody dostawcze</t>
  </si>
  <si>
    <t>Autobusy miejskie</t>
  </si>
  <si>
    <t>Autokary</t>
  </si>
  <si>
    <t>Praca eksploatacyjna</t>
  </si>
  <si>
    <t>Autokary, spalinowe</t>
  </si>
  <si>
    <t>Samochody dostawcze, spalinowe</t>
  </si>
  <si>
    <t>Wyżej wymienione koszty jednostkowe zdarzeń drogowych są właściwe dla sieci TEN-T.</t>
  </si>
  <si>
    <t>Wypadki</t>
  </si>
  <si>
    <t>Zabici</t>
  </si>
  <si>
    <t>Ranni</t>
  </si>
  <si>
    <t>Ciężko ranni</t>
  </si>
  <si>
    <t>Dostępne statystyki obejmują tylko kolizje zgłoszone Policji. W Polsce nie ma obowiązku zgłaszania zaistnienia kolizji do Policji.</t>
  </si>
  <si>
    <t>Lekko ranni</t>
  </si>
  <si>
    <t>Ofiara śmiertelna</t>
  </si>
  <si>
    <t>Ofiara ciężko ranna</t>
  </si>
  <si>
    <t>Ofiara lekko ranna</t>
  </si>
  <si>
    <t>Ofiara ranna (średni koszt)</t>
  </si>
  <si>
    <t>UE-28</t>
  </si>
  <si>
    <t>Polska/ UE-28</t>
  </si>
  <si>
    <t>Samochody</t>
  </si>
  <si>
    <t>Pociągi</t>
  </si>
  <si>
    <t>Poc. pasażerskie dużych prędkości</t>
  </si>
  <si>
    <t>Poc. pasażerskie elektryczne</t>
  </si>
  <si>
    <t>Pociągi pasażerskie, spalinowe (olej napędowy):</t>
  </si>
  <si>
    <t>Pociągi towarowe, spalinowe (olej napędowy):</t>
  </si>
  <si>
    <t>Pociągi pasażerskie spalinowe (olej napędowy)</t>
  </si>
  <si>
    <t>Pociągi towarowe spalinowe (olej napędowy)</t>
  </si>
  <si>
    <t>Poc. pasażerskie spalinowe (olej napędowy)</t>
  </si>
  <si>
    <t>Poc. towarowe elektryczne</t>
  </si>
  <si>
    <t>Poc. towarowe spalinowe (olej napędowy)</t>
  </si>
  <si>
    <t>brak</t>
  </si>
  <si>
    <t>Średnie koszty jednostkowe hałasu 2016 €-cent/ poj-km, do indeksacji</t>
  </si>
  <si>
    <r>
      <t xml:space="preserve">Koszty jednostkowe hałasu w transporcie lądowym </t>
    </r>
    <r>
      <rPr>
        <b/>
        <sz val="16"/>
        <rFont val="Calibri"/>
        <family val="2"/>
        <charset val="238"/>
      </rPr>
      <t>–</t>
    </r>
    <r>
      <rPr>
        <b/>
        <sz val="16"/>
        <rFont val="Calibri"/>
        <family val="2"/>
        <charset val="238"/>
        <scheme val="minor"/>
      </rPr>
      <t xml:space="preserve"> zdezagregowane</t>
    </r>
  </si>
  <si>
    <t>Krańcowe koszty jednostkowe hałasu 2016 €-cent/ poj-km, do indeksacji</t>
  </si>
  <si>
    <t>Dzień</t>
  </si>
  <si>
    <t>Noc</t>
  </si>
  <si>
    <t>Pociągi pasażerskie dużych prędkości</t>
  </si>
  <si>
    <t>Pociągi pasażerskie międzyaglomeracyjne</t>
  </si>
  <si>
    <t>Pociągi towarowe</t>
  </si>
  <si>
    <t>Pojazd</t>
  </si>
  <si>
    <t>Pora dnia</t>
  </si>
  <si>
    <t>Natężenie ruchu</t>
  </si>
  <si>
    <t>Obszar zamiejski</t>
  </si>
  <si>
    <t>Wysokie</t>
  </si>
  <si>
    <t>Niskie</t>
  </si>
  <si>
    <t>Obszar 
miejski</t>
  </si>
  <si>
    <t>Obszar 
zamiejski</t>
  </si>
  <si>
    <t>Samochody ciężarowe, wyszczególnienie</t>
  </si>
  <si>
    <t>Samochody ciężarowe ogółem 
(wyszczególnienie poniżej)</t>
  </si>
  <si>
    <t>Polska/ 
UE-28</t>
  </si>
  <si>
    <t>SAMOCHODY:</t>
  </si>
  <si>
    <t xml:space="preserve">POCIĄGI: </t>
  </si>
  <si>
    <t>POCIĄGI:</t>
  </si>
  <si>
    <t>Średnio</t>
  </si>
  <si>
    <t>Przelicznik kg --&gt; tony</t>
  </si>
  <si>
    <t>Metropolia (*)</t>
  </si>
  <si>
    <t xml:space="preserve">Obszar metropolitalny (*) </t>
  </si>
  <si>
    <t>Krańcowe koszty jednostkowe zanieczyszczenia powietrza 2016 €-cent/ poj-km, do indeksacji</t>
  </si>
  <si>
    <t>Ciężarowe lekkie</t>
  </si>
  <si>
    <t>Diesel</t>
  </si>
  <si>
    <t>Koszty jednostkowe zanieczyszczenia powietrza, transport kolejowy</t>
  </si>
  <si>
    <t>€-cent/ poc-km (€2016)</t>
  </si>
  <si>
    <t>Krańcowe koszty jednostkowe zanieczyszczenia powietrza 2016 €-cent/ poc-km, do indeksacji</t>
  </si>
  <si>
    <t>Pociągi pasażerskie</t>
  </si>
  <si>
    <t>PLN/ poc-km</t>
  </si>
  <si>
    <t>Poc. pasażerskie 
dużych prędkości, 
elektryczne</t>
  </si>
  <si>
    <t>Poc. pasażerskie 
międzyaglomeracyjne, 
elektryczne</t>
  </si>
  <si>
    <t>Poc. pasażerskie 
międzyaglomeracyjne, 
spalinowe (olej napędowy), EGR/SRC</t>
  </si>
  <si>
    <t>Poc. pasażerskie 
międzyaglomeracyjne, 
spalinowe (olej napędowy)</t>
  </si>
  <si>
    <t>Poc. pasażerskie regionalne, 
elektryczne</t>
  </si>
  <si>
    <t>Poc. pasażerskie regionalne, 
spalinowe (olej napędowy), EGR/SRC</t>
  </si>
  <si>
    <t>Poc. pasażerskie regionalne, 
spalinowe (olej napędowy)</t>
  </si>
  <si>
    <t>Średnie koszty jednostkowe zanieczyszczenia powietrza 2016 €-cent/ poj-km, do określenia proporcji Polska/ UE-28</t>
  </si>
  <si>
    <t>Poc. pasażerskie 
dużych prędkości</t>
  </si>
  <si>
    <t>Poc. pasażerskie, 
elektryczne ogółem</t>
  </si>
  <si>
    <t>Poc. pasażerskie, 
spalinowe (olej napędowy)</t>
  </si>
  <si>
    <t>Poc. towarowe, 
elektryczne ogółem</t>
  </si>
  <si>
    <t>Poc. towarowe, 
spalinowe (olej napędowy)</t>
  </si>
  <si>
    <t>€-cent/ poc-km</t>
  </si>
  <si>
    <t>Średnie koszty jednostkowe zanieczyszczenia powietrza 2016 €-cent/ poc-km, do określenia proporcji Polska/ UE-28</t>
  </si>
  <si>
    <r>
      <t>PM</t>
    </r>
    <r>
      <rPr>
        <vertAlign val="subscript"/>
        <sz val="11"/>
        <color theme="1"/>
        <rFont val="Calibri"/>
        <family val="2"/>
        <charset val="238"/>
        <scheme val="minor"/>
      </rPr>
      <t>2.5</t>
    </r>
    <r>
      <rPr>
        <sz val="11"/>
        <color theme="1"/>
        <rFont val="Calibri"/>
        <family val="2"/>
        <charset val="238"/>
        <scheme val="minor"/>
      </rPr>
      <t xml:space="preserve"> transport, metropolia (*)</t>
    </r>
  </si>
  <si>
    <t>Metropolia/ Obszar miejski</t>
  </si>
  <si>
    <t>Obszar zamiejski/ miejski</t>
  </si>
  <si>
    <t>dB</t>
  </si>
  <si>
    <t>55-59 dB</t>
  </si>
  <si>
    <t>60-64 dB</t>
  </si>
  <si>
    <t>65-69 dB</t>
  </si>
  <si>
    <t>70-74 dB</t>
  </si>
  <si>
    <t>&gt; 75 dB</t>
  </si>
  <si>
    <t>przedział dB(A)</t>
  </si>
  <si>
    <t>Przeliczniki uciążliwości hałasu dotyczące pojazdów drogowych</t>
  </si>
  <si>
    <t>UE-28, EUR, 2016</t>
  </si>
  <si>
    <t>Polska, EUR, 2016</t>
  </si>
  <si>
    <t>Polska, PLN, 2016</t>
  </si>
  <si>
    <t>Rodzaj efektu zewnętrznego</t>
  </si>
  <si>
    <t>Trasport kolejowy</t>
  </si>
  <si>
    <t>Autobusy</t>
  </si>
  <si>
    <t>Motocykle</t>
  </si>
  <si>
    <t>Towarowy</t>
  </si>
  <si>
    <r>
      <t xml:space="preserve">Zanieczyszczenie </t>
    </r>
    <r>
      <rPr>
        <sz val="9"/>
        <color theme="1"/>
        <rFont val="Calibri"/>
        <family val="2"/>
        <charset val="238"/>
        <scheme val="minor"/>
      </rPr>
      <t>dolnych warstw atmosfery</t>
    </r>
  </si>
  <si>
    <t>Hałas</t>
  </si>
  <si>
    <t>Wskaźnik przeliczenia na statki morskie</t>
  </si>
  <si>
    <r>
      <t xml:space="preserve">Kongestia </t>
    </r>
    <r>
      <rPr>
        <sz val="9"/>
        <color theme="1"/>
        <rFont val="Calibri"/>
        <family val="2"/>
        <charset val="238"/>
        <scheme val="minor"/>
      </rPr>
      <t>(koszty opóźnień)</t>
    </r>
  </si>
  <si>
    <t>Zmiany klimatu</t>
  </si>
  <si>
    <t>2016 €-cent/ pas-km</t>
  </si>
  <si>
    <t>Pociągi pasażerskie spalinowe</t>
  </si>
  <si>
    <t>Loty krótkodystansowe</t>
  </si>
  <si>
    <t>Loty średniodystansowe</t>
  </si>
  <si>
    <t>Loty długodystansowe</t>
  </si>
  <si>
    <t>Transport lotniczy (*)</t>
  </si>
  <si>
    <t>Samochody dostawcze, benzyna</t>
  </si>
  <si>
    <t>Samochody ciężarowe ogółem</t>
  </si>
  <si>
    <t>Pociągi towarowe spalinowe</t>
  </si>
  <si>
    <t>Transport kolejowy</t>
  </si>
  <si>
    <t>Żegluga śródlądowa</t>
  </si>
  <si>
    <t>Żegluga morska</t>
  </si>
  <si>
    <t>TRANSPORT PASAŻERSKI</t>
  </si>
  <si>
    <t>TRANSPORT TOWAROWY</t>
  </si>
  <si>
    <t>2016 €-cent/ poj-km</t>
  </si>
  <si>
    <t>2016 €-cent/ ton-km</t>
  </si>
  <si>
    <t>Wskaźnik (rok poprzedni =1)</t>
  </si>
  <si>
    <t>Sam. dostawcze, olej napędowy</t>
  </si>
  <si>
    <t>PLN/ pas-km</t>
  </si>
  <si>
    <t>PLN/ ton-km</t>
  </si>
  <si>
    <t>Średnie koszty jednostkowe, Polska, 2016 €-cent</t>
  </si>
  <si>
    <t>Zużycie paliwa [ltr/ poj-km]</t>
  </si>
  <si>
    <t>Koszt jednostkowy paliwa do silników samochodowych</t>
  </si>
  <si>
    <t>PLN/ltr</t>
  </si>
  <si>
    <t>Olej napędowy ON</t>
  </si>
  <si>
    <t>Źródło: https://www.autocentrum.pl/paliwa/ceny-paliw/</t>
  </si>
  <si>
    <t>http://climatecake.pl/wp-content/uploads/2020/10/%C5%9Acie%C5%BCki-redukcji-emisji-CO2-w-sektorze-transportu-w-PL-w-kontek%C5%9Bcie-Europejskiego-Zielonego-%C5%81adu.pdf</t>
  </si>
  <si>
    <t>Średni koszt jednostkowy paliwa, bez podatków i opłat, wartości nominalne wg poziomu cenowego 2019</t>
  </si>
  <si>
    <t>Paliwo dla LV spalinowych, średnio</t>
  </si>
  <si>
    <t>Paliwo dla HGV spalinowych, średnio</t>
  </si>
  <si>
    <t>Koszty jednostkowe posiadania samochodu spalinowego</t>
  </si>
  <si>
    <t>LV spalinowe, teren płaski, nawierzchnia nowa</t>
  </si>
  <si>
    <t>Zastosowanie:</t>
  </si>
  <si>
    <t>Poziom cen na koniec roku:</t>
  </si>
  <si>
    <t>LV, teren płaski, 
nawierzchnia nowa</t>
  </si>
  <si>
    <t xml:space="preserve">Wersja: </t>
  </si>
  <si>
    <t xml:space="preserve">Spis tabel: </t>
  </si>
  <si>
    <t>Parametry do przeliczeń walutowych i indeksacji wartości pieniężnych</t>
  </si>
  <si>
    <t>Koszty jednostkowe zanieczyszczenia powietrza, transport lądowy ogółem</t>
  </si>
  <si>
    <t>Koszty jednostkowe hałasu w transporcie lądowym – zdezagregowane</t>
  </si>
  <si>
    <t>Koszty jednostkowe wypadków drogowych</t>
  </si>
  <si>
    <t>Koszty jednostkowe efektów zewnętrznych transportu – ogółem</t>
  </si>
  <si>
    <t xml:space="preserve">Prezentowane współczynniki indeksacji służą do dostosowania wartości pieniężnych do poziomu cenowego na koniec danego roku. </t>
  </si>
  <si>
    <t>Motywacja podróży</t>
  </si>
  <si>
    <t>Służbowe</t>
  </si>
  <si>
    <t>Dom-praca</t>
  </si>
  <si>
    <t>Pozostałe</t>
  </si>
  <si>
    <t>Koszty jednostkowe czasu w przewozach pasażerskich, wszystkie gałęzie transportu</t>
  </si>
  <si>
    <t>Wskaźnik indeksacji VoT</t>
  </si>
  <si>
    <t>Trakcja</t>
  </si>
  <si>
    <t>elektryczna</t>
  </si>
  <si>
    <t>spalinowa</t>
  </si>
  <si>
    <t>Typ pociągu towarowego</t>
  </si>
  <si>
    <t xml:space="preserve">Ładunki o niskiej wartości (*): </t>
  </si>
  <si>
    <t xml:space="preserve">np. ładunki masowe, kruszywa </t>
  </si>
  <si>
    <t xml:space="preserve">Zwykłe ładunki: </t>
  </si>
  <si>
    <t xml:space="preserve">Ładunki o wysokiej wartości: </t>
  </si>
  <si>
    <t>np. paczki, ładunki mrożone, ro-ro</t>
  </si>
  <si>
    <t>Koszty jednostkowe czasu w przewozach ładunków, wszystkie transport kolejowy</t>
  </si>
  <si>
    <t>inne ładunki kolejowe, morskie, rzeczne</t>
  </si>
  <si>
    <t xml:space="preserve">Euro na tonę ładunku na godzinę. </t>
  </si>
  <si>
    <t xml:space="preserve">&lt;6,000 Euro/tona ładunku, </t>
  </si>
  <si>
    <t xml:space="preserve">6,000-35,000 Euro/tona ładunku, </t>
  </si>
  <si>
    <t xml:space="preserve">&gt;35,000 Euro/tona ładunku, </t>
  </si>
  <si>
    <t>[PLN/tono-godz]</t>
  </si>
  <si>
    <t>[PLN/pas-godz]</t>
  </si>
  <si>
    <t>Pociąg blokowy (bezpośredni)</t>
  </si>
  <si>
    <t>Pociąg grupowy</t>
  </si>
  <si>
    <t>Pociąg kontenerowy, intermodalny</t>
  </si>
  <si>
    <t>Pociąg blokowy (bezpośredni), 
trakcja elektryczna</t>
  </si>
  <si>
    <t>Pociąg blokowy (bezpośredni), 
trakcja spalinowa</t>
  </si>
  <si>
    <t>Pociąg grupowy, 
trakcja elektryczna</t>
  </si>
  <si>
    <t>Pociąg grupowy, 
trakcja spalinowa</t>
  </si>
  <si>
    <t>Pociąg kontenerowy, intermodalny, 
trakcja elektryczna</t>
  </si>
  <si>
    <t>Pociąg kontenerowy, intermodalny, 
trakcja spalinowa</t>
  </si>
  <si>
    <t>[PLN/poc-godz]</t>
  </si>
  <si>
    <t xml:space="preserve">PLN na tonę ładunku na godzinę. </t>
  </si>
  <si>
    <t>Ładunki o niskiej wartości</t>
  </si>
  <si>
    <t>Zwykłe ładunki</t>
  </si>
  <si>
    <t>Ładunki o wysokiej wartości</t>
  </si>
  <si>
    <t>Parametry pociągów przyjęte do określenia kosztów jednostkowych</t>
  </si>
  <si>
    <t>Liczba wagonów</t>
  </si>
  <si>
    <t>[szt.]</t>
  </si>
  <si>
    <t>[t]</t>
  </si>
  <si>
    <t>[t/wag]</t>
  </si>
  <si>
    <t>Masa ładunku na wagon</t>
  </si>
  <si>
    <t>Masa netto ładunku (ładowność)</t>
  </si>
  <si>
    <t>Masa całkowita pociągu brutto</t>
  </si>
  <si>
    <t xml:space="preserve">Źródło: badanie przeprowadzone we Francji (CGSP, 2013) </t>
  </si>
  <si>
    <t>Koszty jednostkowe eksploatacji pociągów w przewozach ładunków</t>
  </si>
  <si>
    <t xml:space="preserve">Wpływ nachylenia drogi na emisje gazów cieplarnianych przez pojazdy drogowe przyjęto na takim samym poziomie, jak wpływ na zużycie paliwa. </t>
  </si>
  <si>
    <t>Wskaźniki cen produkcji budowlano-montażowej, Polska, GUS (rok poprzedni =100)</t>
  </si>
  <si>
    <t>Koszty jednostkowe utrzymania infrastruktury drogowej</t>
  </si>
  <si>
    <t>inflacja cen produkcji budowlano-montażowej PL do roku bazowego</t>
  </si>
  <si>
    <t>Wskaźnik indeksacji</t>
  </si>
  <si>
    <t>Klasa i przekrój drogi</t>
  </si>
  <si>
    <t>A, S 2x2</t>
  </si>
  <si>
    <t>[PLN/km]</t>
  </si>
  <si>
    <t>S 2+1</t>
  </si>
  <si>
    <t>S 1x2</t>
  </si>
  <si>
    <t>GP 2x2</t>
  </si>
  <si>
    <t>GP 1x2</t>
  </si>
  <si>
    <t>G</t>
  </si>
  <si>
    <t>Źródło: opracowanie własne na podstawie danych z przetargów GDDKiA “Utrzymaj standard” 2013, Niebieska Księga, Infrastruktura drogowa, lipiec 2015, Załącznik A, pkt 9 (str. 131)</t>
  </si>
  <si>
    <t xml:space="preserve">Handbook on the External Costs of Transport, EC (January 2019), dołączony plik "FINAL_marginal_costs_air-poll_climate_WTT_noise.xlsx", zakładka "rail" </t>
  </si>
  <si>
    <t xml:space="preserve">Handbook on the External Costs of Transport, EC (January 2019) </t>
  </si>
  <si>
    <t>Źródło: Handbook on the External Costs of Transport, EC (January 2019), plik "FINAL_marginal_costs_air-poll_climate_WTT_noise.xlsx", zakładka "noise_all"</t>
  </si>
  <si>
    <t>Źródło: Handbook on the External Costs of Transport, EC (January 2019), plik "FINAL_Complete overview of country data.xlsx", zakładka "Noise_input"</t>
  </si>
  <si>
    <t>Norma silnika</t>
  </si>
  <si>
    <t>Jednostka</t>
  </si>
  <si>
    <t>NMHC/NMVOC</t>
  </si>
  <si>
    <t>PM</t>
  </si>
  <si>
    <t>Regulacja</t>
  </si>
  <si>
    <t>Regulacja - pełna nazwa</t>
  </si>
  <si>
    <t>EURO I</t>
  </si>
  <si>
    <t>1992-1996.10</t>
  </si>
  <si>
    <t>g/kWh</t>
  </si>
  <si>
    <t>EURO II</t>
  </si>
  <si>
    <t>1996.10-2000.10</t>
  </si>
  <si>
    <t>EURO III</t>
  </si>
  <si>
    <t>2000.10-2005.10</t>
  </si>
  <si>
    <t>EURO IV</t>
  </si>
  <si>
    <t>2005.10-2008.10</t>
  </si>
  <si>
    <t>EURO V</t>
  </si>
  <si>
    <t>2008.10-2012.12</t>
  </si>
  <si>
    <t>EURO VI</t>
  </si>
  <si>
    <t>2013+</t>
  </si>
  <si>
    <t>Zgodnie z parametrami silnika</t>
  </si>
  <si>
    <t>Autobus - Diesel</t>
  </si>
  <si>
    <t>Wartość energetyczna Diesla</t>
  </si>
  <si>
    <t>MJ/l</t>
  </si>
  <si>
    <t>Rozporządzenie Prezesa Rady Ministrów z dnia 10.05.2011 r. w sprawie innych niż cena obowiązkowych kryteriów oceny ofert w odniesieniu do niektórych rodzajów zamówień publicznych</t>
  </si>
  <si>
    <t>1 kWh</t>
  </si>
  <si>
    <t>=</t>
  </si>
  <si>
    <t>MJ</t>
  </si>
  <si>
    <t>kWh/l</t>
  </si>
  <si>
    <t>Spalanie przez dany autobus na 100 km</t>
  </si>
  <si>
    <t>l/100 km</t>
  </si>
  <si>
    <t>100 km</t>
  </si>
  <si>
    <t>kWh/km</t>
  </si>
  <si>
    <t>Kategoria EURO</t>
  </si>
  <si>
    <t>g/km</t>
  </si>
  <si>
    <t>Autobus - CNG</t>
  </si>
  <si>
    <t>Wartość energetyczna CNG</t>
  </si>
  <si>
    <t>Nm3/100 km</t>
  </si>
  <si>
    <t>Autobus - elektryczny</t>
  </si>
  <si>
    <t>Lata</t>
  </si>
  <si>
    <t>[1] Gęstość paliwa (g/litr)</t>
  </si>
  <si>
    <t>Polska, sieciowa</t>
  </si>
  <si>
    <t>g --&gt; kg</t>
  </si>
  <si>
    <t>Emisje CO2 i zanieczyszczeń powietrza przez autobusy komunikacji miejskiej</t>
  </si>
  <si>
    <t>[PLN]</t>
  </si>
  <si>
    <t>Lipiec 2021</t>
  </si>
  <si>
    <t>Sierpień 2021</t>
  </si>
  <si>
    <t>Wrzesień 2021</t>
  </si>
  <si>
    <t>Eksploatacja ESPO</t>
  </si>
  <si>
    <t>Brutto</t>
  </si>
  <si>
    <t>Koszty jednostkowe utrzymania infrastruktury drogowej oraz eksploatacji systemu poboru opłat drogowych</t>
  </si>
  <si>
    <t>Netto</t>
  </si>
  <si>
    <t>Stawka opodatkowania VAT</t>
  </si>
  <si>
    <t>Liczba miesięcy danych</t>
  </si>
  <si>
    <t>Liczba miesięcy w roku</t>
  </si>
  <si>
    <t>[km]</t>
  </si>
  <si>
    <t>Długość dróg publicznych zarządzanych przez GDDKiA, objętych opłatami za przejazd</t>
  </si>
  <si>
    <t>Źródło: Ministerstwo Finansów – Krajowa Administracja Skarbowa, https://etoll.gov.pl/ciezarowe/system-e-toll/lista-odcinkow-platnych/</t>
  </si>
  <si>
    <t>Koszty związane z eksploatacją Elektronicznego Systemu Poboru Opłat (łącznie viaTOLL oraz e-TOLL), wartości PLN brutto 2021 dla Polski</t>
  </si>
  <si>
    <t>Koszt jednostkowy eksploatacji elektronicznego systemu poboru opłat drogowych</t>
  </si>
  <si>
    <t xml:space="preserve">Koszty jednostkowe eksploatacji elektronicznego systemu poboru opłat za przejazd drogami publicznymi zarządzanymi przez GDDKiA </t>
  </si>
  <si>
    <t xml:space="preserve">Do końca września 2021 r. funkcjonowały równocześnie dwa systemy elektronicznego poboru opłat: viaTOLL i e-TOLL. Dane dotyczące eksploatacji Elektronicznego Systemu Poboru Opłat odnoszą się do obu systemów. </t>
  </si>
  <si>
    <t>Wyszczególnienie</t>
  </si>
  <si>
    <t>kg/MWh</t>
  </si>
  <si>
    <t>Struktura źródeł energii elektrycznej wytwarzanej w Polsce</t>
  </si>
  <si>
    <t>GWh</t>
  </si>
  <si>
    <t>%</t>
  </si>
  <si>
    <t>TWh</t>
  </si>
  <si>
    <t>Krajowe wskaźniki emisyjności sieciowej energii elektrycznej</t>
  </si>
  <si>
    <t>Wskaźniki emisji w [kg/MWh] dla odbiorców końcowych sieciowej energii elektrycznej</t>
  </si>
  <si>
    <r>
      <t>Wskaźnik emisji CO</t>
    </r>
    <r>
      <rPr>
        <vertAlign val="subscript"/>
        <sz val="11"/>
        <color theme="1"/>
        <rFont val="Calibri"/>
        <family val="2"/>
        <charset val="238"/>
        <scheme val="minor"/>
      </rPr>
      <t>2</t>
    </r>
    <r>
      <rPr>
        <sz val="11"/>
        <color theme="1"/>
        <rFont val="Calibri"/>
        <family val="2"/>
        <charset val="238"/>
        <scheme val="minor"/>
      </rPr>
      <t xml:space="preserve"> dla odbiorców końcowych sieciowej energii elektrycznej</t>
    </r>
  </si>
  <si>
    <t>(kWh/ msc-km)</t>
  </si>
  <si>
    <t>(kWh/ poc-km)</t>
  </si>
  <si>
    <t xml:space="preserve">UWAGA: </t>
  </si>
  <si>
    <r>
      <t>CO</t>
    </r>
    <r>
      <rPr>
        <b/>
        <vertAlign val="subscript"/>
        <sz val="11"/>
        <color theme="1"/>
        <rFont val="Calibri"/>
        <family val="2"/>
        <charset val="238"/>
        <scheme val="minor"/>
      </rPr>
      <t>2</t>
    </r>
  </si>
  <si>
    <r>
      <t>SO</t>
    </r>
    <r>
      <rPr>
        <b/>
        <vertAlign val="subscript"/>
        <sz val="11"/>
        <color theme="1"/>
        <rFont val="Calibri"/>
        <family val="2"/>
        <charset val="238"/>
        <scheme val="minor"/>
      </rPr>
      <t>2</t>
    </r>
  </si>
  <si>
    <r>
      <t>NO</t>
    </r>
    <r>
      <rPr>
        <b/>
        <vertAlign val="subscript"/>
        <sz val="11"/>
        <color theme="1"/>
        <rFont val="Calibri"/>
        <family val="2"/>
        <charset val="238"/>
        <scheme val="minor"/>
      </rPr>
      <t>x</t>
    </r>
  </si>
  <si>
    <r>
      <t>[2] kg CO</t>
    </r>
    <r>
      <rPr>
        <i/>
        <vertAlign val="subscript"/>
        <sz val="11"/>
        <color theme="1"/>
        <rFont val="Calibri"/>
        <family val="2"/>
        <charset val="238"/>
        <scheme val="minor"/>
      </rPr>
      <t>2</t>
    </r>
    <r>
      <rPr>
        <i/>
        <sz val="11"/>
        <color theme="1"/>
        <rFont val="Calibri"/>
        <family val="2"/>
        <charset val="238"/>
        <scheme val="minor"/>
      </rPr>
      <t>/ litr paliwa</t>
    </r>
  </si>
  <si>
    <r>
      <t>MJ/Nm</t>
    </r>
    <r>
      <rPr>
        <vertAlign val="superscript"/>
        <sz val="11"/>
        <color theme="1"/>
        <rFont val="Calibri"/>
        <family val="2"/>
        <charset val="238"/>
        <scheme val="minor"/>
      </rPr>
      <t>3</t>
    </r>
  </si>
  <si>
    <r>
      <t>kWh/Nm</t>
    </r>
    <r>
      <rPr>
        <vertAlign val="superscript"/>
        <sz val="11"/>
        <color theme="1"/>
        <rFont val="Calibri"/>
        <family val="2"/>
        <charset val="238"/>
        <scheme val="minor"/>
      </rPr>
      <t>3</t>
    </r>
  </si>
  <si>
    <r>
      <t>litr --&gt; m</t>
    </r>
    <r>
      <rPr>
        <vertAlign val="superscript"/>
        <sz val="11"/>
        <color theme="1"/>
        <rFont val="Calibri"/>
        <family val="2"/>
        <charset val="238"/>
        <scheme val="minor"/>
      </rPr>
      <t>3</t>
    </r>
  </si>
  <si>
    <r>
      <t>[1] kg CO</t>
    </r>
    <r>
      <rPr>
        <i/>
        <vertAlign val="subscript"/>
        <sz val="11"/>
        <color theme="1"/>
        <rFont val="Calibri"/>
        <family val="2"/>
        <charset val="238"/>
        <scheme val="minor"/>
      </rPr>
      <t>2</t>
    </r>
    <r>
      <rPr>
        <i/>
        <sz val="11"/>
        <color theme="1"/>
        <rFont val="Calibri"/>
        <family val="2"/>
        <charset val="238"/>
        <scheme val="minor"/>
      </rPr>
      <t>/ kg paliwa</t>
    </r>
  </si>
  <si>
    <r>
      <t>[1] kg CO</t>
    </r>
    <r>
      <rPr>
        <i/>
        <vertAlign val="subscript"/>
        <sz val="11"/>
        <color theme="1"/>
        <rFont val="Calibri"/>
        <family val="2"/>
        <charset val="238"/>
        <scheme val="minor"/>
      </rPr>
      <t>2</t>
    </r>
    <r>
      <rPr>
        <i/>
        <sz val="11"/>
        <color theme="1"/>
        <rFont val="Calibri"/>
        <family val="2"/>
        <charset val="238"/>
        <scheme val="minor"/>
      </rPr>
      <t>/ litr paliwa</t>
    </r>
  </si>
  <si>
    <r>
      <t>[1] kg CO</t>
    </r>
    <r>
      <rPr>
        <i/>
        <vertAlign val="subscript"/>
        <sz val="11"/>
        <color theme="1"/>
        <rFont val="Calibri"/>
        <family val="2"/>
        <charset val="238"/>
        <scheme val="minor"/>
      </rPr>
      <t>2</t>
    </r>
    <r>
      <rPr>
        <i/>
        <sz val="11"/>
        <color theme="1"/>
        <rFont val="Calibri"/>
        <family val="2"/>
        <charset val="238"/>
        <scheme val="minor"/>
      </rPr>
      <t>/ m</t>
    </r>
    <r>
      <rPr>
        <i/>
        <vertAlign val="superscript"/>
        <sz val="11"/>
        <color theme="1"/>
        <rFont val="Calibri"/>
        <family val="2"/>
        <charset val="238"/>
        <scheme val="minor"/>
      </rPr>
      <t>3</t>
    </r>
    <r>
      <rPr>
        <i/>
        <sz val="11"/>
        <color theme="1"/>
        <rFont val="Calibri"/>
        <family val="2"/>
        <charset val="238"/>
        <scheme val="minor"/>
      </rPr>
      <t xml:space="preserve"> paliwa</t>
    </r>
  </si>
  <si>
    <r>
      <t>CO</t>
    </r>
    <r>
      <rPr>
        <vertAlign val="subscript"/>
        <sz val="11"/>
        <color theme="1"/>
        <rFont val="Calibri"/>
        <family val="2"/>
        <charset val="238"/>
        <scheme val="minor"/>
      </rPr>
      <t>2</t>
    </r>
    <r>
      <rPr>
        <sz val="11"/>
        <color theme="1"/>
        <rFont val="Calibri"/>
        <family val="2"/>
        <charset val="238"/>
        <scheme val="minor"/>
      </rPr>
      <t xml:space="preserve"> kg/km</t>
    </r>
  </si>
  <si>
    <r>
      <t>CO</t>
    </r>
    <r>
      <rPr>
        <vertAlign val="subscript"/>
        <sz val="11"/>
        <color theme="1"/>
        <rFont val="Calibri"/>
        <family val="2"/>
        <charset val="238"/>
        <scheme val="minor"/>
      </rPr>
      <t>2</t>
    </r>
    <r>
      <rPr>
        <sz val="11"/>
        <color theme="1"/>
        <rFont val="Calibri"/>
        <family val="2"/>
        <charset val="238"/>
        <scheme val="minor"/>
      </rPr>
      <t xml:space="preserve"> g/kWh</t>
    </r>
  </si>
  <si>
    <r>
      <t>Powyższa wartość wskaźnika emisyjności CO</t>
    </r>
    <r>
      <rPr>
        <vertAlign val="subscript"/>
        <sz val="11"/>
        <color theme="1"/>
        <rFont val="Calibri"/>
        <family val="2"/>
        <charset val="238"/>
        <scheme val="minor"/>
      </rPr>
      <t>2</t>
    </r>
    <r>
      <rPr>
        <sz val="11"/>
        <color theme="1"/>
        <rFont val="Calibri"/>
        <family val="2"/>
        <charset val="238"/>
        <scheme val="minor"/>
      </rPr>
      <t xml:space="preserve"> dotyczy roku 2019.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</si>
  <si>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względem roku 2019</t>
    </r>
  </si>
  <si>
    <t xml:space="preserve">Wskaźniki zużycia paliwa przez pojazdy spalinowe (łącznie dla wszystkich rodzajów paliw) pozostaną na wyjściowym poziomie (2019). </t>
  </si>
  <si>
    <t xml:space="preserve">Jednostkowe zużycie energii przez elektryczny pojazd trakcyjny </t>
  </si>
  <si>
    <t>Pociągi elektryczne</t>
  </si>
  <si>
    <t>Pasażerski międzyaglomeracyjny</t>
  </si>
  <si>
    <t>kJ/brtkm</t>
  </si>
  <si>
    <t>Pasażerski międzyregionalny</t>
  </si>
  <si>
    <t>Pasażerski regionalny</t>
  </si>
  <si>
    <t>Przelicznik kJ --&gt; kWh</t>
  </si>
  <si>
    <t>J --&gt; kJ</t>
  </si>
  <si>
    <t>Zużycie energii 
[kWh/ brtkm]</t>
  </si>
  <si>
    <t xml:space="preserve">Jednostkowe zużycie energii przez spalinowy pojazd trakcyjny </t>
  </si>
  <si>
    <t>Pociągi spalinowe (olej napędowy)</t>
  </si>
  <si>
    <t>Pociągi spalinowe 
(olej napędowy)</t>
  </si>
  <si>
    <r>
      <t>kg CO</t>
    </r>
    <r>
      <rPr>
        <vertAlign val="subscript"/>
        <sz val="11"/>
        <color theme="1"/>
        <rFont val="Calibri"/>
        <family val="2"/>
        <charset val="238"/>
        <scheme val="minor"/>
      </rPr>
      <t>2</t>
    </r>
    <r>
      <rPr>
        <sz val="11"/>
        <color theme="1"/>
        <rFont val="Calibri"/>
        <family val="2"/>
        <charset val="238"/>
        <scheme val="minor"/>
      </rPr>
      <t>/ kg paliwa</t>
    </r>
  </si>
  <si>
    <t>Gęstość paliwa (g/litr)</t>
  </si>
  <si>
    <r>
      <t>kg CO</t>
    </r>
    <r>
      <rPr>
        <vertAlign val="subscript"/>
        <sz val="11"/>
        <color theme="1"/>
        <rFont val="Calibri"/>
        <family val="2"/>
        <charset val="238"/>
        <scheme val="minor"/>
      </rPr>
      <t>2</t>
    </r>
    <r>
      <rPr>
        <sz val="11"/>
        <color theme="1"/>
        <rFont val="Calibri"/>
        <family val="2"/>
        <charset val="238"/>
        <scheme val="minor"/>
      </rPr>
      <t>/ litr paliwa</t>
    </r>
  </si>
  <si>
    <r>
      <t>kg CO</t>
    </r>
    <r>
      <rPr>
        <vertAlign val="subscript"/>
        <sz val="11"/>
        <color theme="1"/>
        <rFont val="Calibri"/>
        <family val="2"/>
        <charset val="238"/>
        <scheme val="minor"/>
      </rPr>
      <t>2</t>
    </r>
    <r>
      <rPr>
        <sz val="11"/>
        <color theme="1"/>
        <rFont val="Calibri"/>
        <family val="2"/>
        <charset val="238"/>
        <scheme val="minor"/>
      </rPr>
      <t>/ m</t>
    </r>
    <r>
      <rPr>
        <vertAlign val="superscript"/>
        <sz val="11"/>
        <color theme="1"/>
        <rFont val="Calibri"/>
        <family val="2"/>
        <charset val="238"/>
        <scheme val="minor"/>
      </rPr>
      <t>3</t>
    </r>
    <r>
      <rPr>
        <sz val="11"/>
        <color theme="1"/>
        <rFont val="Calibri"/>
        <family val="2"/>
        <charset val="238"/>
        <scheme val="minor"/>
      </rPr>
      <t xml:space="preserve"> paliwa</t>
    </r>
  </si>
  <si>
    <t>Źródło: Eurostat, https://ec.europa.eu/eurostat/data/database Main GDP aggregates per capita [nama_10_pc] (aktualizacja 28.01.2022)</t>
  </si>
  <si>
    <t>Koszty jednostkowe utrzymania okresowego (remontów) – kształtowanie się kosztu w latach [PLN/km] netto, indeksacja w czasie (ceny realne od 2022 r.), wartości na koniec danego roku</t>
  </si>
  <si>
    <t>[PLN/brtkm]</t>
  </si>
  <si>
    <t>Samochody osobowe (=LV) spalinowe</t>
  </si>
  <si>
    <t>Samochody ciężarowe (=HGV) spalinowe</t>
  </si>
  <si>
    <t>LV spalinowe, obszar miejski, średnio w dobie, nawierzchnia nowa</t>
  </si>
  <si>
    <t>LV ogółem, obszar miejski, średnio w dobie, nawierzchnia nowa</t>
  </si>
  <si>
    <t>HGV ogółem, obszar miejski, średnio w dobie, nawierzchnia nowa</t>
  </si>
  <si>
    <t>Transport pasażerski drogowy, 
Samochody osobowe</t>
  </si>
  <si>
    <t>[PLN/pas-km]</t>
  </si>
  <si>
    <t>Indeksacja ECT 2019 po roku bazowym</t>
  </si>
  <si>
    <r>
      <t>Zmiany kosztu jednostkowego emisji CO</t>
    </r>
    <r>
      <rPr>
        <b/>
        <vertAlign val="subscript"/>
        <sz val="11"/>
        <color theme="1"/>
        <rFont val="Calibri"/>
        <family val="2"/>
        <charset val="238"/>
        <scheme val="minor"/>
      </rPr>
      <t>2</t>
    </r>
  </si>
  <si>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rok-do-roku</t>
    </r>
  </si>
  <si>
    <t>Zmiana wskaźnika rok-do-roku</t>
  </si>
  <si>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</si>
  <si>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r>
      <t>Zmiany wskaźnika emisji CO</t>
    </r>
    <r>
      <rPr>
        <vertAlign val="subscript"/>
        <sz val="11"/>
        <color theme="1"/>
        <rFont val="Calibri"/>
        <family val="2"/>
        <charset val="238"/>
        <scheme val="minor"/>
      </rPr>
      <t>2</t>
    </r>
    <r>
      <rPr>
        <sz val="11"/>
        <color theme="1"/>
        <rFont val="Calibri"/>
        <family val="2"/>
        <charset val="238"/>
        <scheme val="minor"/>
      </rPr>
      <t xml:space="preserve"> 
rok-do-roku</t>
    </r>
  </si>
  <si>
    <r>
      <t>Zmiany wskaźnika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</si>
  <si>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po roku bazowym</t>
    </r>
  </si>
  <si>
    <t>Transport pasażerski kolejowy</t>
  </si>
  <si>
    <r>
      <t>Zmiany kosztu jednostkowego CO</t>
    </r>
    <r>
      <rPr>
        <u/>
        <vertAlign val="subscript"/>
        <sz val="11"/>
        <color theme="10"/>
        <rFont val="Calibri"/>
        <family val="2"/>
        <charset val="238"/>
        <scheme val="minor"/>
      </rPr>
      <t>2</t>
    </r>
    <r>
      <rPr>
        <u/>
        <sz val="11"/>
        <color theme="10"/>
        <rFont val="Calibri"/>
        <family val="2"/>
        <charset val="238"/>
        <scheme val="minor"/>
      </rPr>
      <t xml:space="preserve"> po roku bazowym</t>
    </r>
  </si>
  <si>
    <t>Koszty eksploatacji pojazdów spalinowych [PLN/pojkm]</t>
  </si>
  <si>
    <t xml:space="preserve">Nota metodologiczna </t>
  </si>
  <si>
    <t>Poziom cen na dzień:</t>
  </si>
  <si>
    <t>Nota metodologiczna</t>
  </si>
  <si>
    <t>2018 (s)</t>
  </si>
  <si>
    <t>LV ogółem, teren płaski, nawierzchnia nowa</t>
  </si>
  <si>
    <t>HGV ogółem, teren płaski, nawierzchnia nowa</t>
  </si>
  <si>
    <r>
      <t xml:space="preserve">Koszty jednostkowe eksploatacji pojazdów </t>
    </r>
    <r>
      <rPr>
        <b/>
        <u/>
        <sz val="11"/>
        <color theme="1"/>
        <rFont val="Calibri"/>
        <family val="2"/>
        <charset val="238"/>
        <scheme val="minor"/>
      </rPr>
      <t>spalinowych</t>
    </r>
    <r>
      <rPr>
        <b/>
        <sz val="11"/>
        <color theme="1"/>
        <rFont val="Calibri"/>
        <family val="2"/>
        <charset val="238"/>
        <scheme val="minor"/>
      </rPr>
      <t xml:space="preserve"> [PLN/pojkm]</t>
    </r>
  </si>
  <si>
    <t>Koszty jednostkowe PLN na tonokm ładunku</t>
  </si>
  <si>
    <t>[PLN/tkm]</t>
  </si>
  <si>
    <t>Koszty jednostkowe PLN na bruttotonokilometr</t>
  </si>
  <si>
    <t>Inflacja średnioroczna CPI dla Polski, skumulowana od 2016 do roku bazowego</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</si>
  <si>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123. W związku z tym w przypadku zmiany w tamtym wierszu (np. zmiany z LV na HGV, obszaru na zamiejski), wartości przedstawione w poniższej tabeli przykładowej nie będą zgodne z opisami. </t>
    </r>
  </si>
  <si>
    <t xml:space="preserve">Poniższa przykładowa tabela uwzględnia zmiany struktury floty pojazdów drogowych pod względem rodzaju paliwa (napęd spalinowy, elektryczny) w kolejnych latach projekcji. </t>
  </si>
  <si>
    <t xml:space="preserve">W zakresie zmian struktury floty pojazdów drogowych należy przyjąć takie same założenia, jak dla kosztów eksploatacji samochodów (VOC). </t>
  </si>
  <si>
    <r>
      <t xml:space="preserve">I METODA </t>
    </r>
    <r>
      <rPr>
        <b/>
        <sz val="11"/>
        <color theme="1"/>
        <rFont val="Calibri"/>
        <family val="2"/>
        <charset val="238"/>
      </rPr>
      <t>–</t>
    </r>
    <r>
      <rPr>
        <b/>
        <sz val="11"/>
        <color theme="1"/>
        <rFont val="Calibri"/>
        <family val="2"/>
        <charset val="238"/>
        <scheme val="minor"/>
      </rPr>
      <t xml:space="preserve"> koszty krańcowe na 1 pojazdo-km</t>
    </r>
  </si>
  <si>
    <r>
      <t xml:space="preserve">Należy przyjąć, że w transporcie drogowym koszty hałasu dotyczą wyłącznie samochodów </t>
    </r>
    <r>
      <rPr>
        <u/>
        <sz val="11"/>
        <color theme="1"/>
        <rFont val="Calibri"/>
        <family val="2"/>
        <charset val="238"/>
        <scheme val="minor"/>
      </rPr>
      <t>spalinowych</t>
    </r>
    <r>
      <rPr>
        <sz val="11"/>
        <color theme="1"/>
        <rFont val="Calibri"/>
        <family val="2"/>
        <charset val="238"/>
        <scheme val="minor"/>
      </rPr>
      <t xml:space="preserve"> LV, HGV (odpowiedni udział %) i nie dotyczą samochodów elektrycznych, gdyż poziom hałasu emitowanego przez samochody elektryczne jest nieistotny. </t>
    </r>
  </si>
  <si>
    <t>Tablice kosztów jednostkowych do wykorzystania w analizach kosztów i korzyści</t>
  </si>
  <si>
    <t xml:space="preserve">W niniejszym pliku prezentowane są tablice kosztów jednostkowych do wykorzystania w analizach kosztów i korzyści przygotowywanych przez wnioskodawców. </t>
  </si>
  <si>
    <t xml:space="preserve">Wartości przeliczone na poziom cenowy właściwy dla 31 grudnia danego roku należy zastosować w roku następnym. Jest to opisane w nagłówkach tabel kosztów jednostkowych. </t>
  </si>
  <si>
    <t xml:space="preserve">Z poniższych kategorii, dwie są efektami bezpośrednimi, jako elementy uogólnionych kosztów podróży: Koszty eksploatacji pojazdów – VOC, Koszty czasu użytkowników infrastruktury – VoT. </t>
  </si>
  <si>
    <t xml:space="preserve">Pozostałe są tak zwanymi kosztami zewnętrznymi: wypadki, zanieczyszczenie powietrza, zmiany klimatu i hałas. </t>
  </si>
  <si>
    <t>Skutki społeczno-ekonomiczne inne niż wymienione mogą także być generowane. Uwzględnienie ich w analizie wymaga przedstawienia metodyki wyliczenia i źródła kosztów jednostkowych.</t>
  </si>
  <si>
    <t xml:space="preserve">Na końcu pliku zamieszczone są dwie dodatkowe zakładki, które zawierają odpowiednio: </t>
  </si>
  <si>
    <r>
      <t>Kalkulator emisji CO</t>
    </r>
    <r>
      <rPr>
        <vertAlign val="subscript"/>
        <sz val="11"/>
        <color theme="1"/>
        <rFont val="Calibri"/>
        <family val="2"/>
        <charset val="238"/>
        <scheme val="minor"/>
      </rPr>
      <t>2</t>
    </r>
    <r>
      <rPr>
        <sz val="11"/>
        <color theme="1"/>
        <rFont val="Calibri"/>
        <family val="2"/>
        <charset val="238"/>
        <scheme val="minor"/>
      </rPr>
      <t xml:space="preserve"> i zanieczyszczeń powietrza przez autobusy komunikacji miejskiej</t>
    </r>
  </si>
  <si>
    <t>Parametry do przeliczeń walutowych i indeksacji wartości pieniężnych</t>
  </si>
  <si>
    <r>
      <t xml:space="preserve">Dla roku bazowego 2022 właściwe do zastosowania w analizie są wartości kosztów jednostkowych określone według poziomu cenowego </t>
    </r>
    <r>
      <rPr>
        <u/>
        <sz val="11"/>
        <color theme="1"/>
        <rFont val="Calibri"/>
        <family val="2"/>
        <charset val="238"/>
        <scheme val="minor"/>
      </rPr>
      <t>z końca roku poprzedniego</t>
    </r>
    <r>
      <rPr>
        <sz val="11"/>
        <color theme="1"/>
        <rFont val="Calibri"/>
        <family val="2"/>
        <charset val="238"/>
        <scheme val="minor"/>
      </rPr>
      <t>, tzn. 2021.</t>
    </r>
  </si>
  <si>
    <t>Zmiana PKB Polski w cenach stałych średniorocznych (rok poprzedni =100)</t>
  </si>
  <si>
    <t>Ludność Polski ogółem (w dniu 31.XII), tys.</t>
  </si>
  <si>
    <t>Zmiana PKB Polski per capita w cenach stałych średniorocznych (rok poprzedni =100)</t>
  </si>
  <si>
    <t>Zmiana PKB Polski w cenach stałych średniorocznych – prognoza MinFin</t>
  </si>
  <si>
    <t>Liczba ludności Polski (w dniu 31.XII) – prognoza GUS</t>
  </si>
  <si>
    <t>Zmiana PKB Polski per capita w cenach stałych średniorocznych – prognoza</t>
  </si>
  <si>
    <r>
      <t xml:space="preserve">Koszty jednostkowe dla poszczególnych Krajów Członkowskich zostały przedstawione w "Handbook on the External Costs of Transport" na przeciętnym poziomie cenowym dla UE28 i w EUR 2016 </t>
    </r>
    <r>
      <rPr>
        <sz val="11"/>
        <color theme="1"/>
        <rFont val="Calibri"/>
        <family val="2"/>
        <charset val="238"/>
      </rPr>
      <t>–</t>
    </r>
    <r>
      <rPr>
        <sz val="11"/>
        <color theme="1"/>
        <rFont val="Calibri"/>
        <family val="2"/>
        <charset val="238"/>
        <scheme val="minor"/>
      </rPr>
      <t xml:space="preserve"> patrz: "Handbook…", rozdział 1.3.6. </t>
    </r>
  </si>
  <si>
    <r>
      <rPr>
        <sz val="11"/>
        <color theme="1"/>
        <rFont val="Calibri"/>
        <family val="2"/>
        <charset val="238"/>
      </rPr>
      <t>[1] </t>
    </r>
    <r>
      <rPr>
        <sz val="11"/>
        <color theme="1"/>
        <rFont val="Calibri"/>
        <family val="2"/>
        <charset val="238"/>
        <scheme val="minor"/>
      </rPr>
      <t xml:space="preserve">kurs walutowy PLN/EUR za rok 2016, oraz [2] PKB Polski per capita za rok 2016, wyrażony w jednostkach siły nabywczej (Purchasing Power Standards, PPS). </t>
    </r>
  </si>
  <si>
    <t xml:space="preserve">Następnie zastosowano indeksację wartości wyrażonych w PLN do poziomu cenowego właściwego dla określonego roku bazowego oraz na kolejne lata. </t>
  </si>
  <si>
    <t xml:space="preserve">Źródło: Handbook on the External Costs of Transport, EC (January 2019), chapter 2.4 Value transfer approach, chapter 1.3.6 Price level </t>
  </si>
  <si>
    <t xml:space="preserve">Tę samą logikę zastosowano konsekwentnie również do [1] kosztów jednostkowych czasu w przewozach ładunków transportem kolejowym, oraz do [2] kosztów jednostkowych eksploatacji pociągów w przewozach ładunków. W tych dwóch przypadkach wyjściowe koszty jednostkowe pochodzą z innego opracowania i dotyczą roku 2010. </t>
  </si>
  <si>
    <t>Produkt krajowy brutto na 1 mieszkańca, Polska w PPS (UE 28=100)</t>
  </si>
  <si>
    <t xml:space="preserve">Na początku roku 2020 Unię Europejską opuściła Wielka Brytania. Od tej pory punktem odniesienia dla wskaźników jest UE 27=100. Seria wskaźników dla UE 28=100 nie jest kontynuowana, wskaźniki dla lat poprzednich zostały przeliczone przez Eurostat. </t>
  </si>
  <si>
    <t>VoT, koszty czasu w transporcie</t>
  </si>
  <si>
    <t>Elastyczność X</t>
  </si>
  <si>
    <t>Indeksacja = X * (PKB per cap PL) * (inflacja PL do roku bazowego)</t>
  </si>
  <si>
    <t>Koszty jednostkowe inne niż VoT i VOC, też ECT 2019 po roku bazowym</t>
  </si>
  <si>
    <t>Elastyczność Y</t>
  </si>
  <si>
    <t>Indeksacja = Y * (PKB per cap PL) * (inflacja PL do roku bazowego)</t>
  </si>
  <si>
    <t>ECT 2019 na rok bazowy</t>
  </si>
  <si>
    <t>Indeksacja = Y * (PKB per cap PL) * (inflacja PL do roku bazowego), 
skumulowane od 2016</t>
  </si>
  <si>
    <t xml:space="preserve">UWAGA: NINIEJSZY ARKUSZ ZAKŁADA 2022 JAKO ROK BAZOWY ANALIZY. INDEKSACJĘ WYKONANO NA KONIEC 2021 R. </t>
  </si>
  <si>
    <t xml:space="preserve">Brak konieczności dodatkowego przeliczenia jeżeli rok bazowy analizy to 2022. Jeżeli rok bazowy analizy jest inny, to należy uwzględnić indeksację odpowiednią dla danej kategorii kosztów jednostkowych, zgodnie z formułami zawartymi w tym pliku. </t>
  </si>
  <si>
    <t>Dla roku 2022 właściwe do zastosowania w analizie są wartości kosztów jednostkowych określone według poziomu cenowego z końca roku poprzedniego, tzn. 2021.</t>
  </si>
  <si>
    <t>Koszty jednostkowe czasu w przewozach pasażerskich, wszystkie gałęzie transportu</t>
  </si>
  <si>
    <t>Koszt jednostkowy czasu podróży pasażerskich w zależności od motywacji, 2019 PLN/ pas-godz, do indeksacji</t>
  </si>
  <si>
    <t>Koszty jednostkowe czasu w przewozach ładunków, transport kolejowy</t>
  </si>
  <si>
    <t xml:space="preserve">Podane stawki kosztów jednostkowych nie zawierają podatków. </t>
  </si>
  <si>
    <t>Składnik 1: Koszty jednostkowe czasu przewozu ładunków włącznie z kosztami ogólnymi [EUR/poc-godz], ceny z roku 2010</t>
  </si>
  <si>
    <t xml:space="preserve">Źródło: opracowano na podstawie danych z badania przeprowadzonego we Francji (CGSP, 2013) </t>
  </si>
  <si>
    <t xml:space="preserve">Stawki kosztów jednostkowych dla poszczególnych krajów zostały oparte na kosztach transportu kolejowego w 15 krajach UE objętych badaniem i uwzględniają dane o poziomie wynagrodzeń załóg pociągów w tych krajach. </t>
  </si>
  <si>
    <t xml:space="preserve">Podane stawki kosztów jednostkowych zawierają: koszty personelu, czasu pociągu oraz związane z tym koszty ogólne. </t>
  </si>
  <si>
    <t>Składnik 2: Koszty jednostkowe czasu ładunków [EUR/tono-godz], ceny z roku 2010</t>
  </si>
  <si>
    <t xml:space="preserve">(*) Wartość dla tej kategorii ładunków została oparta na przeglądzie dostępnych źródeł danych. Przeciętna wartość w tych źródłach wynosi 0,01 EUR/tonogodz. Jednak w kontekście oceny projektów transportowych stawka ta ma stosunkowo niewielkie znaczenie i dlatego zaokrąglono ją do zera. </t>
  </si>
  <si>
    <t>Produkt krajowy brutto na 1 mieszkańca, w PPS (UE 28=100)</t>
  </si>
  <si>
    <t xml:space="preserve">Wyjaśnienie w sprawie przeliczenia wyjściowych wartości kosztów jednostkowych z zastosowaniem kursu walutowego PLN/EUR oraz PKB Polski per capita w jednostkach siły nabywczej (PPS): </t>
  </si>
  <si>
    <t xml:space="preserve">(s) W roku 2018 uwzględniono wartość wskaźnika skumulowaną od 2011. </t>
  </si>
  <si>
    <t>Źródło: Determination of the Value of Time (VOT) for passengers (in PLN/h). Phase 2: VOT calculations, pp. 8, 49, Deloitte, September 2021</t>
  </si>
  <si>
    <t>Składnik 1: Koszt jednostkowy czasu przewozu ładunków – kształtowanie się kosztu w latach [PLN/poc-godz] indeksacja w czasie (ceny realne od 2022 r.), wartości na koniec danego roku</t>
  </si>
  <si>
    <t>Składnik 2: Koszt jednostkowy czasu ładunków – kształtowanie się kosztu w latach [PLN/tono-godz] indeksacja w czasie (ceny realne od 2022 r.), wartości na koniec danego roku</t>
  </si>
  <si>
    <t xml:space="preserve">Dane w PLN/tono-godz dla poszczególnych typów ładunków mogą zostać zastosowane niezależnie od środka transportu, np. w projektach morskich. </t>
  </si>
  <si>
    <t>Koszty jednostkowe eksploatacji pojazdów w transporcie drogowym</t>
  </si>
  <si>
    <t>Prognoza zmian struktury floty pojazdów drogowych w Polsce pod względem rodzaju paliwa</t>
  </si>
  <si>
    <r>
      <t>Źródło prognoz na 2030 i 2050: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27, Rys. 13.</t>
    </r>
  </si>
  <si>
    <t>Dla sytuacji wyjściowej (koniec 2019) przyjęto uproszczenie, że udział samochodów na CNG, hybrydowych i elektrycznych wynosi 0%.</t>
  </si>
  <si>
    <t xml:space="preserve">Przyjęto założenie, że wśród reprezentatywnych pojazdów HGV (samochodów ciężarowych i autobusów międzymiastowych) udział oleju napędowego wynosi wyjściowo 100% (koniec 2019) i taki pozostanie. 
Powyższe założenia nie dotyczą autobusów komunikacji miejskiej. W przypadku wymiany lub rozbudowy floty takich pojazdów należy przyjąć założenia właściwe dla danego projektu (por. zakładka "E-busy emisje"). </t>
  </si>
  <si>
    <t>Pojazdy samochodowe w Polsce według wybranych rodzajów stosowanego paliwa na koniec 2019 roku</t>
  </si>
  <si>
    <t>Samoch. ciężarowe i ciągniki siodłowe</t>
  </si>
  <si>
    <t>Benzyna i energia elektryczna (hybryda)</t>
  </si>
  <si>
    <t>Olej napędowy i energia elektryczna (hybryda)</t>
  </si>
  <si>
    <t>Pozostałe, nie określone</t>
  </si>
  <si>
    <t>Źródło: Transport - wyniki działalności w 2019 roku, GUS, wrzesień 2020, Tablica 20 (53), liczby w pozycji "Razem" według Tablica 12 (45) i Tablica 13 (46)</t>
  </si>
  <si>
    <t>Benzyna i gaz</t>
  </si>
  <si>
    <t>Elektryczne i hybrydowe</t>
  </si>
  <si>
    <t>Spalinowe, w tym:</t>
  </si>
  <si>
    <t>Struktura floty reprezentatywnych spalinowych pojazdów drogowych pod względem rodzajów paliwa, przyjęta na potrzeby określenia kosztów jednostkowych eksploatacji samochodów</t>
  </si>
  <si>
    <t xml:space="preserve">W poniższych tabelach dane dla pojazdów drogowych spalinowych dotyczą całości reprezentatywnej floty pojazdów w Polsce z 2019 roku, z uwzględnieniem wszystkich rodzajów paliw. </t>
  </si>
  <si>
    <t xml:space="preserve">Dla uproszczenia należy przyjąć, że aktualnie udział pojazdów elektrycznych (w tym również hybrydowych-elektrycznych) w całej flocie pojazdów poruszających się po drogach w Polsce wynosi 0%. </t>
  </si>
  <si>
    <t xml:space="preserve">Aktualnie flota pojazdów drogowych składa się w 100% zpojazdów spalinowych i 0% pojazdów elektrycznych. </t>
  </si>
  <si>
    <r>
      <t xml:space="preserve">We flocie samochodów osobowych udziały pojazdów elektrycznych będą rosły, a pojazdów spalinowych </t>
    </r>
    <r>
      <rPr>
        <sz val="11"/>
        <color theme="1"/>
        <rFont val="Calibri"/>
        <family val="2"/>
        <charset val="238"/>
      </rPr>
      <t>–</t>
    </r>
    <r>
      <rPr>
        <sz val="11"/>
        <color theme="1"/>
        <rFont val="Calibri"/>
        <family val="2"/>
        <charset val="238"/>
        <scheme val="minor"/>
      </rPr>
      <t xml:space="preserve"> malały (w tym samym tempie dla wszystkich rodzajów paliw), zgodnie z przyjętym scenariuszem prognoz. </t>
    </r>
  </si>
  <si>
    <t xml:space="preserve">Pomiędzy stanem aktualnym i rokiem 2030, a następnie pomiędzy latami scenariusza 2030 i 2050, udziały będą się zmieniały według interpolacji liniowej. Dla dalszych lat należy przyjąć strukturę jak w roku 2050. </t>
  </si>
  <si>
    <r>
      <t>1. Pojazdy drogowe spalinowe</t>
    </r>
    <r>
      <rPr>
        <sz val="11"/>
        <color theme="1"/>
        <rFont val="Calibri"/>
        <family val="2"/>
        <charset val="238"/>
        <scheme val="minor"/>
      </rPr>
      <t xml:space="preserve"> (bez elektrycznych i hybrydowo-elektrycznych – patrz poniżej w pkt 2) </t>
    </r>
  </si>
  <si>
    <t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t>
  </si>
  <si>
    <t xml:space="preserve">Mnożniki te należy stosować do łącznych VOC (nie tylko do kosztów zużycia paliwa lub energii elektrycznej). </t>
  </si>
  <si>
    <t xml:space="preserve">- Różnica wartości wskaźnika szorstkości nawierzchni IRI pomiędzy drogą o nawierzchni dobrej (IRI około 1-2 m/km) i zdegradowanej (IRI około 6-7 m/km). </t>
  </si>
  <si>
    <t xml:space="preserve">- Siła wpływu oddziaływania pogorszenia jakości nawierzchni na warunki użytkowania drogi dla pojazdów LV i HGV. </t>
  </si>
  <si>
    <r>
      <t xml:space="preserve">- Korzyść z poprawy jakości nawierzchni przy prędkościach do 50 km/h stanowi </t>
    </r>
    <r>
      <rPr>
        <u/>
        <sz val="11"/>
        <color theme="1"/>
        <rFont val="Calibri"/>
        <family val="2"/>
        <charset val="238"/>
        <scheme val="minor"/>
      </rPr>
      <t>połowę</t>
    </r>
    <r>
      <rPr>
        <sz val="11"/>
        <color theme="1"/>
        <rFont val="Calibri"/>
        <family val="2"/>
        <charset val="238"/>
        <scheme val="minor"/>
      </rPr>
      <t xml:space="preserve"> korzyści z poprawy jakości nawierzchni przy prędkościach powyżej 100 km/h. </t>
    </r>
  </si>
  <si>
    <t>Źródło: "Optimisation of Maintenance", OECD/ITF 2012, str. 12</t>
  </si>
  <si>
    <t xml:space="preserve">Dodatkowo, dla dróg w terenie falistym (tzn. jeśli nachylenie podłużne drogi wynosi pomiędzy 2% i 6%), należy przemnożyć wartości dla terenu płaskiego przez poniższe współczynniki. </t>
  </si>
  <si>
    <t xml:space="preserve">Pominięto współczynniki dla dróg w terenie górskim, tj. o nachyleniu podłużnym powyżej 6%, ponieważ nie mają one istotnego znaczenia dla oceny przez CUPT projektów transportowych realizowanych w Polsce. </t>
  </si>
  <si>
    <t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t>
  </si>
  <si>
    <t>Średnioroczne ceny detaliczne wybranych rodzajów paliw samochodowych w Polsce</t>
  </si>
  <si>
    <t xml:space="preserve">Udział podatków i opłat w cenach detalicznych paliw w Polsce </t>
  </si>
  <si>
    <t>Benzyna Pb 95</t>
  </si>
  <si>
    <t>Źródło: Polska Organizacja Przemysłu i Handlu Naftowego</t>
  </si>
  <si>
    <r>
      <t>Wartości przedstawione w: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21, Rys. 8. Struktura ceny detalicznej benzyny EU95 i oleju napędowego średnio w 2019 r. w Polsce</t>
    </r>
  </si>
  <si>
    <t>Ceny detaliczne wybranych rodzajów paliw samochodowych w Polsce, bez podatków i opłat</t>
  </si>
  <si>
    <t xml:space="preserve">Zużycie pojazdu (odpisy wartości zakupu) i inne koszty związane z obsługą i posiadaniem samochodu, bez podatków i opłat. </t>
  </si>
  <si>
    <t>Źródło: Obliczenia własne na podstawie "Optimisation of Maintenance", OECD/ITF 2012, str. 12</t>
  </si>
  <si>
    <t xml:space="preserve">[1] koszt zużycia paliwa, bez podatków i opłat </t>
  </si>
  <si>
    <t xml:space="preserve">[2] zużycie pojazdu (odpisy wartości zakupu) i inne koszty związane z obsługą i posiadaniem samochodu, bez podatków i opłat </t>
  </si>
  <si>
    <t xml:space="preserve">Stawki jednostkowe kosztów nie obejmują podatków i opłat, aby uwzględnić ceny rozrachunkowe (shadow prices) zasobów na rynku zakłóconym przez regulację i transfery fiskalne. </t>
  </si>
  <si>
    <r>
      <t xml:space="preserve">Koszty jednostkowe eksploatacji samochodów </t>
    </r>
    <r>
      <rPr>
        <b/>
        <u/>
        <sz val="11"/>
        <color theme="1"/>
        <rFont val="Calibri"/>
        <family val="2"/>
        <charset val="238"/>
        <scheme val="minor"/>
      </rPr>
      <t>spalinowych</t>
    </r>
    <r>
      <rPr>
        <b/>
        <sz val="11"/>
        <color theme="1"/>
        <rFont val="Calibri"/>
        <family val="2"/>
        <charset val="238"/>
        <scheme val="minor"/>
      </rPr>
      <t>, bez podatków i opłat – przykład kształtowania się kosztu w latach [PLN/poj-km] (ceny realne od 2022 r.), wartości na koniec danego roku</t>
    </r>
  </si>
  <si>
    <t>Koszt jednostkowy czasu podróży pasażerskich – kształtowanie się kosztu w latach [PLN/pas-godz] indeksacja w czasie (ceny realne od 2022 r.), wartości na koniec danego roku</t>
  </si>
  <si>
    <t xml:space="preserve">Zakłada się brak realnego wzrostu jednostkowych kosztów eksploatacji pojazdów w czasie. Dlatego należy uwzględnić tylko indeksację nominalną do roku bazowego wskaźnikiem inflacji CPI. </t>
  </si>
  <si>
    <t>2. Pojazdy drogowe elektryczne i hybrydowe-elektryczne</t>
  </si>
  <si>
    <t>Wskaźniki zużycia energii w transporcie</t>
  </si>
  <si>
    <t>Źródło: "EIB Project Carbon Footprint Methodologies" (wersja 11.1, lipiec 2020), Tables A1.7 Transport Emissions Factors - Road transport</t>
  </si>
  <si>
    <t>Średnioroczna cena detaliczna energii elektrycznej w Polsce, bez podatków i opłat</t>
  </si>
  <si>
    <t xml:space="preserve">Do celów analiz kosztów i korzyści bardziej stosowna jest cena energii elektrycznej dla konsumentów nie będących gospodarstwami domowymi. </t>
  </si>
  <si>
    <t xml:space="preserve">Ceny energii elektrycznej dla gospodarstw domowych podlegają zniekształceniom powodowanym przez regulację taryf, która ma na celu ochronę tych konsumentów. </t>
  </si>
  <si>
    <t xml:space="preserve">Przyjęto upraszczające założenie, że w kategorii LV koszty jednostkowe posiadania samochodu elektrycznego są takie same jak dla samochodu spalinowego. </t>
  </si>
  <si>
    <r>
      <t xml:space="preserve">Koszty jednostkowe eksploatacji samochodów </t>
    </r>
    <r>
      <rPr>
        <b/>
        <u/>
        <sz val="11"/>
        <color theme="1"/>
        <rFont val="Calibri"/>
        <family val="2"/>
        <charset val="238"/>
        <scheme val="minor"/>
      </rPr>
      <t>elektrycznych i hybrydowych</t>
    </r>
    <r>
      <rPr>
        <b/>
        <sz val="11"/>
        <color theme="1"/>
        <rFont val="Calibri"/>
        <family val="2"/>
        <charset val="238"/>
        <scheme val="minor"/>
      </rPr>
      <t>, bez podatków i opłat – przykład kształtowania się kosztu w latach [PLN/poj-km] indeksacja w czasie (ceny realne od 2022 r.), wartości na koniec danego roku</t>
    </r>
  </si>
  <si>
    <t xml:space="preserve">Dla potrzeb analiz kosztów i korzyści, spośród wszystkich wartości dostępnych w opracowaniu źródłowym EIB zaleca się wykorzystanie przede wszystkim wartości z pozycji "Samochód osobowy, elektryczny (średni rozmiar)", przeciętnie wszystkie warunki ruchu. </t>
  </si>
  <si>
    <t>Pojazdy drogowe elektryczne i hybrydowe-elektryczne, 
teren płaski, nawierzchnia nowa</t>
  </si>
  <si>
    <t>Samochód osobowy, elektryczny (średni rozmiar), przeciętnie obszar miejski i zamiejski</t>
  </si>
  <si>
    <r>
      <t xml:space="preserve">Koszty jednostkowe eksploatacji </t>
    </r>
    <r>
      <rPr>
        <b/>
        <u/>
        <sz val="11"/>
        <color theme="1"/>
        <rFont val="Calibri"/>
        <family val="2"/>
        <charset val="238"/>
        <scheme val="minor"/>
      </rPr>
      <t>samochodów ogółem</t>
    </r>
    <r>
      <rPr>
        <b/>
        <sz val="11"/>
        <color theme="1"/>
        <rFont val="Calibri"/>
        <family val="2"/>
        <charset val="238"/>
        <scheme val="minor"/>
      </rPr>
      <t xml:space="preserve"> (dla średniej struktury floty pojazdów), bez podatków i opłat – przykład kształtowania się kosztu w latach [PLN/poj-km] indeksacja w czasie (ceny realne od 2022 r.), wartości na koniec danego roku </t>
    </r>
  </si>
  <si>
    <t xml:space="preserve">Poniższa przykładowa tabela uwzględnia zmiany struktury floty pojazdów drogowych pod względem rodzaju paliwa (napęd spalinowy, elektryczny) w kolejnych latach projekcji.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</si>
  <si>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286 oraz do określonych mnożników nachylenia podłużnego drogi oraz jakości nawierzchni drogi. W związku z tym w przypadku zmian (np. zmiany kategorii pojazdu elektrycznego w wierszu 286, terenu na falisty, nawierzchni na zdegradowaną), wartości przedstawione w poniższej tabeli przykładowej nie będą zgodne z opisami. </t>
    </r>
  </si>
  <si>
    <t>Koszty jednostkowe eksploatacji pociągów w przewozach ładunków</t>
  </si>
  <si>
    <t>Koszty jednostkowe eksploatacji pociągów, wyłącznie napęd [EUR/poc-km], ceny z roku 2010</t>
  </si>
  <si>
    <t xml:space="preserve">Stawki kosztów jednostkowych dla poszczególnych krajów zostały oparte na kosztach transportu kolejowego w 15 krajach UE objętych badaniem. </t>
  </si>
  <si>
    <t>Koszty jednostkowe eksploatacji pociągów, wyłącznie napęd – kształtowanie się kosztu w latach [PLN/poc-km] indeksacja w czasie (ceny realne od 2022 r.), wartości na koniec danego roku</t>
  </si>
  <si>
    <r>
      <t>Wskaźniki emisyjności [g CO</t>
    </r>
    <r>
      <rPr>
        <b/>
        <vertAlign val="subscript"/>
        <sz val="11"/>
        <color theme="1"/>
        <rFont val="Calibri"/>
        <family val="2"/>
        <charset val="238"/>
        <scheme val="minor"/>
      </rPr>
      <t>2</t>
    </r>
    <r>
      <rPr>
        <b/>
        <sz val="11"/>
        <color theme="1"/>
        <rFont val="Calibri"/>
        <family val="2"/>
        <charset val="238"/>
        <scheme val="minor"/>
      </rPr>
      <t>(e)/ poj-km]</t>
    </r>
  </si>
  <si>
    <r>
      <t>Emisyjność GHG [g CO</t>
    </r>
    <r>
      <rPr>
        <b/>
        <vertAlign val="subscript"/>
        <sz val="11"/>
        <color theme="1"/>
        <rFont val="Calibri"/>
        <family val="2"/>
        <charset val="238"/>
        <scheme val="minor"/>
      </rPr>
      <t>2</t>
    </r>
    <r>
      <rPr>
        <b/>
        <sz val="11"/>
        <color theme="1"/>
        <rFont val="Calibri"/>
        <family val="2"/>
        <charset val="238"/>
        <scheme val="minor"/>
      </rPr>
      <t>(e)/ poj-km]</t>
    </r>
  </si>
  <si>
    <t xml:space="preserve">Źródło: Obliczenia własne na podstawie: </t>
  </si>
  <si>
    <t>[1] "Parameterisation of fuel consumption and CO2 emissions of passenger cars and light commercial vehicles for modelling purposes, JRC 2011;</t>
  </si>
  <si>
    <t>[2] EMEP/EEA air pollutant emission inventory guidebook, 2019, dołączony plik: 1.A.3.b.i-iv Road Transport Appendix 4 Emission Factors 2019 (Sept. 2020)</t>
  </si>
  <si>
    <r>
      <t>Powyższe wskaźniki emisyjności dotyczą CO</t>
    </r>
    <r>
      <rPr>
        <vertAlign val="subscript"/>
        <sz val="11"/>
        <color theme="1"/>
        <rFont val="Calibri"/>
        <family val="2"/>
        <charset val="238"/>
        <scheme val="minor"/>
      </rPr>
      <t>2</t>
    </r>
    <r>
      <rPr>
        <sz val="11"/>
        <color theme="1"/>
        <rFont val="Calibri"/>
        <family val="2"/>
        <charset val="238"/>
        <scheme val="minor"/>
      </rPr>
      <t xml:space="preserve"> bez uwzględnienia pozostałych gazów cieplarnianych, tj. metanu CH</t>
    </r>
    <r>
      <rPr>
        <vertAlign val="subscript"/>
        <sz val="11"/>
        <color theme="1"/>
        <rFont val="Calibri"/>
        <family val="2"/>
        <charset val="238"/>
        <scheme val="minor"/>
      </rPr>
      <t>4</t>
    </r>
    <r>
      <rPr>
        <sz val="11"/>
        <color theme="1"/>
        <rFont val="Calibri"/>
        <family val="2"/>
        <charset val="238"/>
        <scheme val="minor"/>
      </rPr>
      <t xml:space="preserve"> (przelicznik x28) i podtlenku azotu N</t>
    </r>
    <r>
      <rPr>
        <vertAlign val="subscript"/>
        <sz val="11"/>
        <color theme="1"/>
        <rFont val="Calibri"/>
        <family val="2"/>
        <charset val="238"/>
        <scheme val="minor"/>
      </rPr>
      <t>2</t>
    </r>
    <r>
      <rPr>
        <sz val="11"/>
        <color theme="1"/>
        <rFont val="Calibri"/>
        <family val="2"/>
        <charset val="238"/>
        <scheme val="minor"/>
      </rPr>
      <t xml:space="preserve">O (przelicznik x265). </t>
    </r>
  </si>
  <si>
    <r>
      <t>Zgodnie z metodyką "EIB Project Carbon Footprint Methodologies" (wersja 11.1, lipiec 2020) przyjęto, że 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t>
    </r>
  </si>
  <si>
    <r>
      <t>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 xml:space="preserve">. </t>
    </r>
  </si>
  <si>
    <t xml:space="preserve">W obliczeniach mnożników nachylenia podłużnego drogi uwzględniono, że teren falisty zwiększa zużycie paliwa lub energii w pojazdach lekkich o 15%. W przypadku HGV przyjęto dodatkowe założenia dotyczące funkcji zużycia paliwa. </t>
  </si>
  <si>
    <r>
      <t>Koszt jednostkowy ukryty zmiany klimatu, EUR za 1 tonę ekwiwalentu CO</t>
    </r>
    <r>
      <rPr>
        <b/>
        <vertAlign val="subscript"/>
        <sz val="11"/>
        <color theme="1"/>
        <rFont val="Calibri"/>
        <family val="2"/>
        <charset val="238"/>
        <scheme val="minor"/>
      </rPr>
      <t>2</t>
    </r>
    <r>
      <rPr>
        <b/>
        <sz val="11"/>
        <color theme="1"/>
        <rFont val="Calibri"/>
        <family val="2"/>
        <charset val="238"/>
        <scheme val="minor"/>
      </rPr>
      <t xml:space="preserve"> na podstawie EIB Group Climate Bank Roadmap (2020)</t>
    </r>
  </si>
  <si>
    <r>
      <t>Źródło: EIB Group Climate Bank Roadmap 2021-2025 (November 2020), Table A6: Recommended aligned EIB shadow cost of carbon (€2016/tCO</t>
    </r>
    <r>
      <rPr>
        <i/>
        <vertAlign val="subscript"/>
        <sz val="11"/>
        <color theme="1"/>
        <rFont val="Calibri"/>
        <family val="2"/>
        <charset val="238"/>
        <scheme val="minor"/>
      </rPr>
      <t>2</t>
    </r>
    <r>
      <rPr>
        <i/>
        <sz val="11"/>
        <color theme="1"/>
        <rFont val="Calibri"/>
        <family val="2"/>
        <charset val="238"/>
        <scheme val="minor"/>
      </rPr>
      <t>e) for the period 2020-2050.</t>
    </r>
  </si>
  <si>
    <r>
      <t>Koszt jednostkowy emisji gazów cieplarnianych [PLN/t CO</t>
    </r>
    <r>
      <rPr>
        <b/>
        <vertAlign val="subscript"/>
        <sz val="11"/>
        <color theme="1"/>
        <rFont val="Calibri"/>
        <family val="2"/>
        <charset val="238"/>
        <scheme val="minor"/>
      </rPr>
      <t>2</t>
    </r>
    <r>
      <rPr>
        <b/>
        <sz val="11"/>
        <color theme="1"/>
        <rFont val="Calibri"/>
        <family val="2"/>
        <charset val="238"/>
        <scheme val="minor"/>
      </rPr>
      <t>e] – indeksacja w czasie (ceny realne od 2022 r.), wartości na koniec danego roku</t>
    </r>
  </si>
  <si>
    <r>
      <t xml:space="preserve">Koszty jednostkowe zmian klimatu dla pojazdów drogowych </t>
    </r>
    <r>
      <rPr>
        <b/>
        <u/>
        <sz val="11"/>
        <color theme="1"/>
        <rFont val="Calibri"/>
        <family val="2"/>
        <charset val="238"/>
        <scheme val="minor"/>
      </rPr>
      <t>spalinowych</t>
    </r>
    <r>
      <rPr>
        <b/>
        <sz val="11"/>
        <color theme="1"/>
        <rFont val="Calibri"/>
        <family val="2"/>
        <charset val="238"/>
        <scheme val="minor"/>
      </rPr>
      <t xml:space="preserve"> – przykład kształtowania się kosztu w latach [PLN/poj-km] (ceny realne od 2022 r.), wartości na koniec danego roku</t>
    </r>
  </si>
  <si>
    <r>
      <t>Wskaźniki emisyjności w g CO</t>
    </r>
    <r>
      <rPr>
        <vertAlign val="subscript"/>
        <sz val="11"/>
        <color theme="1"/>
        <rFont val="Calibri"/>
        <family val="2"/>
        <charset val="238"/>
        <scheme val="minor"/>
      </rPr>
      <t>2</t>
    </r>
    <r>
      <rPr>
        <sz val="11"/>
        <color theme="1"/>
        <rFont val="Calibri"/>
        <family val="2"/>
        <charset val="238"/>
        <scheme val="minor"/>
      </rPr>
      <t>/kWh (=kg CO</t>
    </r>
    <r>
      <rPr>
        <vertAlign val="subscript"/>
        <sz val="11"/>
        <color theme="1"/>
        <rFont val="Calibri"/>
        <family val="2"/>
        <charset val="238"/>
        <scheme val="minor"/>
      </rPr>
      <t>2</t>
    </r>
    <r>
      <rPr>
        <sz val="11"/>
        <color theme="1"/>
        <rFont val="Calibri"/>
        <family val="2"/>
        <charset val="238"/>
        <scheme val="minor"/>
      </rPr>
      <t>/MWh, =tony CO</t>
    </r>
    <r>
      <rPr>
        <vertAlign val="subscript"/>
        <sz val="11"/>
        <color theme="1"/>
        <rFont val="Calibri"/>
        <family val="2"/>
        <charset val="238"/>
        <scheme val="minor"/>
      </rPr>
      <t>2</t>
    </r>
    <r>
      <rPr>
        <sz val="11"/>
        <color theme="1"/>
        <rFont val="Calibri"/>
        <family val="2"/>
        <charset val="238"/>
        <scheme val="minor"/>
      </rPr>
      <t>/GWh)</t>
    </r>
  </si>
  <si>
    <r>
      <t>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t>
    </r>
  </si>
  <si>
    <t>Produkcja energii elektrycznej w Polsce ogółem</t>
  </si>
  <si>
    <t>w tym elektrownie zawodowe:</t>
  </si>
  <si>
    <t>na węglu kamiennym</t>
  </si>
  <si>
    <t>na węglu brunatnym</t>
  </si>
  <si>
    <t>Udział energii elektrycznej produkowanej z węgla</t>
  </si>
  <si>
    <t xml:space="preserve">Źródło 2010: Raport roczny z funkcjonowania Krajowego Systemu Energetycznego - 2010 r., Polskie Sieci Elektroenergetyczne S.A.; https://www.pse.pl/dane-systemowe/funkcjonowanie-kse/raporty-roczne-z-funkcjonowania-kse-za-rok/raporty-za-rok-2010; Tabela 6.1. Struktura produkcji energii elektrycznej w elektrowniach krajowych, wielkości wymiany energii elektrycznej z zagranicą i krajowe zużycie energii elektrycznej w latach 2008-2010. </t>
  </si>
  <si>
    <t xml:space="preserve">Źródło 2019: Raport roczny z funkcjonowania Krajowego Systemu Energetycznego - 2019 r., PSE S.A.; https://www.pse.pl/dane-systemowe/funkcjonowanie-kse/raporty-roczne-z-funkcjonowania-kse-za-rok/raporty-za-rok-2019; Tabela 6.1. Struktura produkcji energii elektrycznej w elektrowniach krajowych, wielkości wymiany energii elektrycznej z zagranicą i krajowe zużycie energii elektrycznej w latach 2018÷2019 [GWh]. </t>
  </si>
  <si>
    <t xml:space="preserve">Źródło 2020: Raport roczny z funkcjonowania Krajowego Systemu Energetycznego - 2020 r., PSE S.A.; https://www.pse.pl/dane-systemowe/funkcjonowanie-kse/raporty-roczne-z-funkcjonowania-kse-za-rok/raporty-za-rok-2020; Tabela 6.1. Struktura produkcji energii elektrycznej w elektrowniach krajowych, wielkości wymiany energii elektrycznej z zagranicą i krajowe zużycie energii elektrycznej w latach 2018÷2020 [GWh]. </t>
  </si>
  <si>
    <t xml:space="preserve">Źródło 2019: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 https://www.kobize.pl/uploads/materialy/materialy_do_pobrania/wskazniki_emisyjnosci/Wskazniki_emisyjnosci_grudzien_2020.pdf </t>
  </si>
  <si>
    <t xml:space="preserve">Źródło 2010: ”Referencyjny wskaźnik jednostkowej emisyjności dwutlenku węgla przy produkcji energii elektrycznej do wyznaczania poziomu bazowego dla projektów JI realizowanych w Polsce”, Krajowy Ośrodek Bilansowania i Zarządzania Emisjami, Warszawa, czerwiec 2011 r.; https://www.kobize.pl/pl/article/2011/id/137/referencyjny-wskaznik-jednostkowej-emisyjnosci-dwutlenku-wegla-przy-produkcji-energii-elektrycznej-do-wyznaczania-poziomu-bazowego-dla-projektow-ji-realizowanych-w-polsce </t>
  </si>
  <si>
    <r>
      <t>Wskaźnik elastyczności wpływu redukcji energii produkowanej z paliw kopalnych na emisję CO</t>
    </r>
    <r>
      <rPr>
        <vertAlign val="subscript"/>
        <sz val="11"/>
        <color theme="1"/>
        <rFont val="Calibri"/>
        <family val="2"/>
        <charset val="238"/>
        <scheme val="minor"/>
      </rPr>
      <t>2</t>
    </r>
  </si>
  <si>
    <t>Zmiana udziału paliw kopalnych w produkcji energii w latach 2010-2019</t>
  </si>
  <si>
    <r>
      <t>Zmiana poziomu wskaźnika emisji CO</t>
    </r>
    <r>
      <rPr>
        <vertAlign val="subscript"/>
        <sz val="11"/>
        <color theme="1"/>
        <rFont val="Calibri"/>
        <family val="2"/>
        <charset val="238"/>
        <scheme val="minor"/>
      </rPr>
      <t>2</t>
    </r>
    <r>
      <rPr>
        <sz val="11"/>
        <color theme="1"/>
        <rFont val="Calibri"/>
        <family val="2"/>
        <charset val="238"/>
        <scheme val="minor"/>
      </rPr>
      <t xml:space="preserve"> w latach 2010-2019</t>
    </r>
  </si>
  <si>
    <t>Projekcja udziału energii elektrycznej produkowanej z węgla</t>
  </si>
  <si>
    <t xml:space="preserve">Źródło: Polityka energetyczna Polski do roku 2040 (uchwała Rady Ministrów z dnia 2 lutego 2021 r.), Załącznik 2: Wnioski z analiz prognostycznych dla sektora energetycznego, Tabela 22. Prognoza produkcji energii elektrycznej brutto wg paliw [TWh] </t>
  </si>
  <si>
    <r>
      <t>Wskaźnik redukcji emisji CO</t>
    </r>
    <r>
      <rPr>
        <b/>
        <vertAlign val="subscript"/>
        <sz val="11"/>
        <color theme="1"/>
        <rFont val="Calibri"/>
        <family val="2"/>
        <charset val="238"/>
        <scheme val="minor"/>
      </rPr>
      <t>2</t>
    </r>
    <r>
      <rPr>
        <b/>
        <sz val="11"/>
        <color theme="1"/>
        <rFont val="Calibri"/>
        <family val="2"/>
        <charset val="238"/>
        <scheme val="minor"/>
      </rPr>
      <t xml:space="preserve"> na skutek ograniczenia produkcji energii elektrycznej w oparciu o paliwa kopalne (węgiel kamienny i węgiel brunatny) </t>
    </r>
  </si>
  <si>
    <t xml:space="preserve">Spadek udziału paliw kopalnych w produkcji energii elektrycznej względem 2019 r. </t>
  </si>
  <si>
    <r>
      <t>Redukcja emisji CO</t>
    </r>
    <r>
      <rPr>
        <vertAlign val="subscript"/>
        <sz val="11"/>
        <color theme="1"/>
        <rFont val="Calibri"/>
        <family val="2"/>
        <charset val="238"/>
        <scheme val="minor"/>
      </rPr>
      <t>2</t>
    </r>
    <r>
      <rPr>
        <sz val="11"/>
        <color theme="1"/>
        <rFont val="Calibri"/>
        <family val="2"/>
        <charset val="238"/>
        <scheme val="minor"/>
      </rPr>
      <t xml:space="preserve"> z 1 kWh (względem 2019 r.) </t>
    </r>
  </si>
  <si>
    <r>
      <t>Wskaźnik poziomu emisji CO</t>
    </r>
    <r>
      <rPr>
        <b/>
        <vertAlign val="subscript"/>
        <sz val="11"/>
        <color theme="1"/>
        <rFont val="Calibri"/>
        <family val="2"/>
        <charset val="238"/>
        <scheme val="minor"/>
      </rPr>
      <t>2</t>
    </r>
    <r>
      <rPr>
        <b/>
        <sz val="11"/>
        <color theme="1"/>
        <rFont val="Calibri"/>
        <family val="2"/>
        <charset val="238"/>
        <scheme val="minor"/>
      </rPr>
      <t xml:space="preserve"> z 1 kWh (względem 2019 r.) </t>
    </r>
  </si>
  <si>
    <r>
      <t>Wskaźniki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t>
    </r>
  </si>
  <si>
    <t xml:space="preserve">KOBiZE, Wskaźniki emisyjności CO2, SO2, NOx, CO i pyłu całkowitego dla energii elektrycznej na podstawie informacji zawartych w Krajowej bazie o emisjach gazów cieplarnianych i innych substancji za 2019 rok i analogiczny raport za rok 2010 </t>
  </si>
  <si>
    <t xml:space="preserve">PSE S.A., Raport roczny z funkcjonowania Krajowego Systemu Energetycznego - 2010 i 2019 r. </t>
  </si>
  <si>
    <t xml:space="preserve">Polityka energetyczna Polski do roku 2040 (Załącznik 2: Wnioski z analiz prognostycznych dla sektora energetycznego, Tabela 22) </t>
  </si>
  <si>
    <t xml:space="preserve">Obliczenia CUPT na podstawie: </t>
  </si>
  <si>
    <t xml:space="preserve">Pojazdy drogowe, 
elektryczne i hybrydowe-elektryczne: </t>
  </si>
  <si>
    <r>
      <t>Emisyjność GHG (*) 
[g CO</t>
    </r>
    <r>
      <rPr>
        <vertAlign val="subscript"/>
        <sz val="11"/>
        <color theme="1"/>
        <rFont val="Calibri"/>
        <family val="2"/>
        <charset val="238"/>
        <scheme val="minor"/>
      </rPr>
      <t>2</t>
    </r>
    <r>
      <rPr>
        <sz val="11"/>
        <color theme="1"/>
        <rFont val="Calibri"/>
        <family val="2"/>
        <charset val="238"/>
        <scheme val="minor"/>
      </rPr>
      <t>(e)/ poj-km]</t>
    </r>
  </si>
  <si>
    <t xml:space="preserve">Źródło: "EIB Project Carbon Footprint Methodologies" (wersja 11.1, lipiec 2020), Tables A1.7 Transport Emissions Factors - Road transport </t>
  </si>
  <si>
    <t xml:space="preserve">Pierwotne źródło danych wykazane w "EIB Project Carbon Footprint Methodologies": COPERT (narzędzie do obliczania emisji opracowane przez EEA) completed with STREAM (CE DELFT) </t>
  </si>
  <si>
    <t xml:space="preserve">(*) Uwzględnione są tylko emisje ze zużycia paliwa w pojeździe (tzw. "Tank-to-Wheel", TTW), bez emisji związanych z wytwarzaniem i przesyłem energii elektrycznej sieciowej zużywanej przez pojazd. </t>
  </si>
  <si>
    <t>(**) Łącznie emisje związane z wytwarzaniem i przesyłem energii elektrycznej sieciowej zużywanej przez pojazd oraz emisje związane ze zużyciem paliwa w pojeździe (tzw. "Tank-to-Wheel", TTW).</t>
  </si>
  <si>
    <r>
      <t>Emisyjność GHG (**) [g CO</t>
    </r>
    <r>
      <rPr>
        <vertAlign val="subscript"/>
        <sz val="11"/>
        <color theme="1"/>
        <rFont val="Calibri"/>
        <family val="2"/>
        <charset val="238"/>
        <scheme val="minor"/>
      </rPr>
      <t>2</t>
    </r>
    <r>
      <rPr>
        <sz val="11"/>
        <color theme="1"/>
        <rFont val="Calibri"/>
        <family val="2"/>
        <charset val="238"/>
        <scheme val="minor"/>
      </rPr>
      <t>(e)/ poj-km]</t>
    </r>
  </si>
  <si>
    <r>
      <t xml:space="preserve">Koszty jednostkowe zmian klimatu dla pojazdów drogowych </t>
    </r>
    <r>
      <rPr>
        <b/>
        <u/>
        <sz val="11"/>
        <color theme="1"/>
        <rFont val="Calibri"/>
        <family val="2"/>
        <charset val="238"/>
        <scheme val="minor"/>
      </rPr>
      <t>elektrycznych i hybrydowych</t>
    </r>
    <r>
      <rPr>
        <b/>
        <sz val="11"/>
        <color theme="1"/>
        <rFont val="Calibri"/>
        <family val="2"/>
        <charset val="238"/>
        <scheme val="minor"/>
      </rPr>
      <t xml:space="preserve"> – przykład kształtowania się kosztu w latach [PLN/poj-km] indeksacja w czasie (ceny realne od 2022 r.), wartości na koniec danego roku </t>
    </r>
  </si>
  <si>
    <r>
      <t xml:space="preserve">Koszty jednostkowe zmian klimatu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</si>
  <si>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przykładowych tabelach w wierszu 115 i 236. W związku z tym w przypadku zmian w tamtych wierszach (np. zmiany przedziału prędkości, kategorii pojazdu elektrycznego w wierszu 236, zmiany z LV na HGV, terenu na falisty, nawierzchni na zdegradowaną), wartości przedstawione w poniższej tabeli przykładowej nie będą zgodne z opisami. </t>
    </r>
  </si>
  <si>
    <r>
      <t>Stawka jednostkowa, 
EUR 2016 /tCO</t>
    </r>
    <r>
      <rPr>
        <vertAlign val="subscript"/>
        <sz val="11"/>
        <color theme="1"/>
        <rFont val="Calibri"/>
        <family val="2"/>
        <charset val="238"/>
        <scheme val="minor"/>
      </rPr>
      <t>2</t>
    </r>
    <r>
      <rPr>
        <sz val="11"/>
        <color theme="1"/>
        <rFont val="Calibri"/>
        <family val="2"/>
        <charset val="238"/>
        <scheme val="minor"/>
      </rPr>
      <t>e</t>
    </r>
  </si>
  <si>
    <t>Roczna zmiana, EUR 2016</t>
  </si>
  <si>
    <r>
      <t>Obliczenia CUPT na podstawie: EIB Group Climate Bank Roadmap 2021-2025 (November 2020), Table A6: Recommended aligned EIB shadow cost of carbon (€</t>
    </r>
    <r>
      <rPr>
        <i/>
        <vertAlign val="subscript"/>
        <sz val="11"/>
        <color theme="1"/>
        <rFont val="Calibri"/>
        <family val="2"/>
        <charset val="238"/>
        <scheme val="minor"/>
      </rPr>
      <t>2016</t>
    </r>
    <r>
      <rPr>
        <i/>
        <sz val="11"/>
        <color theme="1"/>
        <rFont val="Calibri"/>
        <family val="2"/>
        <charset val="238"/>
        <scheme val="minor"/>
      </rPr>
      <t>/tCO</t>
    </r>
    <r>
      <rPr>
        <i/>
        <vertAlign val="subscript"/>
        <sz val="11"/>
        <color theme="1"/>
        <rFont val="Calibri"/>
        <family val="2"/>
        <charset val="238"/>
        <scheme val="minor"/>
      </rPr>
      <t>2</t>
    </r>
    <r>
      <rPr>
        <i/>
        <sz val="11"/>
        <color theme="1"/>
        <rFont val="Calibri"/>
        <family val="2"/>
        <charset val="238"/>
        <scheme val="minor"/>
      </rPr>
      <t xml:space="preserve">e) for the period 2020-2050. </t>
    </r>
  </si>
  <si>
    <r>
      <t xml:space="preserve">I METODA </t>
    </r>
    <r>
      <rPr>
        <b/>
        <sz val="11"/>
        <color theme="1"/>
        <rFont val="Calibri"/>
        <family val="2"/>
        <charset val="238"/>
      </rPr>
      <t>–</t>
    </r>
    <r>
      <rPr>
        <b/>
        <sz val="11"/>
        <color theme="1"/>
        <rFont val="Calibri"/>
        <family val="2"/>
        <charset val="238"/>
        <scheme val="minor"/>
      </rPr>
      <t xml:space="preserve"> domyślna: g CO</t>
    </r>
    <r>
      <rPr>
        <b/>
        <vertAlign val="subscript"/>
        <sz val="11"/>
        <color theme="1"/>
        <rFont val="Calibri"/>
        <family val="2"/>
        <charset val="238"/>
        <scheme val="minor"/>
      </rPr>
      <t>2</t>
    </r>
    <r>
      <rPr>
        <b/>
        <sz val="11"/>
        <color theme="1"/>
        <rFont val="Calibri"/>
        <family val="2"/>
        <charset val="238"/>
        <scheme val="minor"/>
      </rPr>
      <t>(e)/ miejsco-km i g CO</t>
    </r>
    <r>
      <rPr>
        <b/>
        <vertAlign val="subscript"/>
        <sz val="11"/>
        <color theme="1"/>
        <rFont val="Calibri"/>
        <family val="2"/>
        <charset val="238"/>
        <scheme val="minor"/>
      </rPr>
      <t>2</t>
    </r>
    <r>
      <rPr>
        <b/>
        <sz val="11"/>
        <color theme="1"/>
        <rFont val="Calibri"/>
        <family val="2"/>
        <charset val="238"/>
        <scheme val="minor"/>
      </rPr>
      <t>(e)/ pociągo-km</t>
    </r>
  </si>
  <si>
    <r>
      <t>Emisyjność GHG (*) 
[g CO</t>
    </r>
    <r>
      <rPr>
        <vertAlign val="subscript"/>
        <sz val="11"/>
        <color theme="1"/>
        <rFont val="Calibri"/>
        <family val="2"/>
        <charset val="238"/>
        <scheme val="minor"/>
      </rPr>
      <t>2</t>
    </r>
    <r>
      <rPr>
        <sz val="11"/>
        <color theme="1"/>
        <rFont val="Calibri"/>
        <family val="2"/>
        <charset val="238"/>
        <scheme val="minor"/>
      </rPr>
      <t>(e)/ msc-km]</t>
    </r>
  </si>
  <si>
    <t>Regionalne i Podmiejskie</t>
  </si>
  <si>
    <t xml:space="preserve">(*) Uwzględnione są tylko emisje ze zużycia paliwa przez pociąg (tzw. "Tank-to-Wheel", TTW), bez emisji związanych z wytwarzaniem i przesyłem energii elektrycznej sieciowej zużywanej przez pociąg. </t>
  </si>
  <si>
    <t>Źródło: "EIB Project Carbon Footprint Methodologies", lipiec 2020, Tables A1.7 Transport Emissions Factors - Rail passenger transport</t>
  </si>
  <si>
    <t xml:space="preserve">Pierwotne źródło danych wykazane w "EIB Project Carbon Footprint Methodologies": UIC </t>
  </si>
  <si>
    <r>
      <t>Emisyjność GHG (*) 
[g CO</t>
    </r>
    <r>
      <rPr>
        <vertAlign val="subscript"/>
        <sz val="11"/>
        <color theme="1"/>
        <rFont val="Calibri"/>
        <family val="2"/>
        <charset val="238"/>
        <scheme val="minor"/>
      </rPr>
      <t>2</t>
    </r>
    <r>
      <rPr>
        <sz val="11"/>
        <color theme="1"/>
        <rFont val="Calibri"/>
        <family val="2"/>
        <charset val="238"/>
        <scheme val="minor"/>
      </rPr>
      <t>(e)/ poc-km]</t>
    </r>
  </si>
  <si>
    <t>Średnio, wszystkie rodzaje 
(1000t - 21 wagonów)</t>
  </si>
  <si>
    <t>Masowe 
(1000t - 18 wagonów)</t>
  </si>
  <si>
    <t>Gabarytowe 
(1000t - 26 wagonów)</t>
  </si>
  <si>
    <t>Kontenerowe 
(1000t - 21 wagonów)</t>
  </si>
  <si>
    <t xml:space="preserve">(*) Uwzględnione są tylko emisje ze zużycia paliwa przez pociąg (tzw. "Tank-to-Wheel", TTW), bez emisji związanych z wytwarzaniem i przesyłem energii elektrycznej sieciowej zużywanej przez pociąg. </t>
  </si>
  <si>
    <r>
      <t>Wskaźniki emisyjności [g CO</t>
    </r>
    <r>
      <rPr>
        <b/>
        <vertAlign val="subscript"/>
        <sz val="11"/>
        <color theme="1"/>
        <rFont val="Calibri"/>
        <family val="2"/>
        <charset val="238"/>
        <scheme val="minor"/>
      </rPr>
      <t>2</t>
    </r>
    <r>
      <rPr>
        <b/>
        <sz val="11"/>
        <color theme="1"/>
        <rFont val="Calibri"/>
        <family val="2"/>
        <charset val="238"/>
        <scheme val="minor"/>
      </rPr>
      <t>(e)/ msc-km], [g CO</t>
    </r>
    <r>
      <rPr>
        <b/>
        <vertAlign val="subscript"/>
        <sz val="11"/>
        <color theme="1"/>
        <rFont val="Calibri"/>
        <family val="2"/>
        <charset val="238"/>
        <scheme val="minor"/>
      </rPr>
      <t>2</t>
    </r>
    <r>
      <rPr>
        <b/>
        <sz val="11"/>
        <color theme="1"/>
        <rFont val="Calibri"/>
        <family val="2"/>
        <charset val="238"/>
        <scheme val="minor"/>
      </rPr>
      <t>(e)/ poc-km]</t>
    </r>
  </si>
  <si>
    <t xml:space="preserve">(**) Łącznie emisje związane z wytwarzaniem i przesyłem energii elektrycznej sieciowej zużywanej przez pociąg oraz emisje związane ze zużyciem paliwa w pociągu (tzw. "Tank-to-Wheel", TTW). </t>
  </si>
  <si>
    <r>
      <t>Emisyjność GHG (**) [g CO</t>
    </r>
    <r>
      <rPr>
        <vertAlign val="subscript"/>
        <sz val="11"/>
        <color theme="1"/>
        <rFont val="Calibri"/>
        <family val="2"/>
        <charset val="238"/>
        <scheme val="minor"/>
      </rPr>
      <t>2</t>
    </r>
    <r>
      <rPr>
        <sz val="11"/>
        <color theme="1"/>
        <rFont val="Calibri"/>
        <family val="2"/>
        <charset val="238"/>
        <scheme val="minor"/>
      </rPr>
      <t>(e)/ msc-km]</t>
    </r>
  </si>
  <si>
    <r>
      <t>Emisyjność GHG (**) [g CO</t>
    </r>
    <r>
      <rPr>
        <vertAlign val="subscript"/>
        <sz val="11"/>
        <color theme="1"/>
        <rFont val="Calibri"/>
        <family val="2"/>
        <charset val="238"/>
        <scheme val="minor"/>
      </rPr>
      <t>2</t>
    </r>
    <r>
      <rPr>
        <sz val="11"/>
        <color theme="1"/>
        <rFont val="Calibri"/>
        <family val="2"/>
        <charset val="238"/>
        <scheme val="minor"/>
      </rPr>
      <t>(e)/ poc-km]</t>
    </r>
  </si>
  <si>
    <t>Koszty jednostkowe zmian klimatu w transporcie kolejowym – indeksacja w czasie (ceny realne od 2022 r.), wartości na koniec danego roku</t>
  </si>
  <si>
    <t xml:space="preserve">Powyższy algorytm kalkulacji wpływu zmiany klimatu może zostać zastosowany także dla innych środków transportu, na podstawie zużycia energii faktycznego lub typowego środka transportu w danej gałęzi. </t>
  </si>
  <si>
    <r>
      <t xml:space="preserve">II METODA </t>
    </r>
    <r>
      <rPr>
        <b/>
        <sz val="11"/>
        <color theme="1"/>
        <rFont val="Calibri"/>
        <family val="2"/>
        <charset val="238"/>
      </rPr>
      <t>–</t>
    </r>
    <r>
      <rPr>
        <b/>
        <sz val="11"/>
        <color theme="1"/>
        <rFont val="Calibri"/>
        <family val="2"/>
        <charset val="238"/>
        <scheme val="minor"/>
      </rPr>
      <t xml:space="preserve"> alternatywna: g CO</t>
    </r>
    <r>
      <rPr>
        <b/>
        <vertAlign val="subscript"/>
        <sz val="11"/>
        <color theme="1"/>
        <rFont val="Calibri"/>
        <family val="2"/>
        <charset val="238"/>
        <scheme val="minor"/>
      </rPr>
      <t>2</t>
    </r>
    <r>
      <rPr>
        <b/>
        <sz val="11"/>
        <color theme="1"/>
        <rFont val="Calibri"/>
        <family val="2"/>
        <charset val="238"/>
        <scheme val="minor"/>
      </rPr>
      <t>(e)/ brtkm</t>
    </r>
  </si>
  <si>
    <r>
      <t>Wskaźniki emisyjności [g CO</t>
    </r>
    <r>
      <rPr>
        <b/>
        <vertAlign val="subscript"/>
        <sz val="11"/>
        <color theme="1"/>
        <rFont val="Calibri"/>
        <family val="2"/>
        <charset val="238"/>
        <scheme val="minor"/>
      </rPr>
      <t>2</t>
    </r>
    <r>
      <rPr>
        <b/>
        <sz val="11"/>
        <color theme="1"/>
        <rFont val="Calibri"/>
        <family val="2"/>
        <charset val="238"/>
        <scheme val="minor"/>
      </rPr>
      <t>(e)/ brtkm]</t>
    </r>
  </si>
  <si>
    <t xml:space="preserve">Źródło: “Exploring non road Transport Emissions in Europe, Development of a Reference System on Emissions Factors for Rail, Maritime and Air Transport” (TRT Trasporti e Territorio Srl, Milan, 19 June 2003) strona 5, Tabela 2.2, dane za 2007 rok </t>
  </si>
  <si>
    <r>
      <t>g CO</t>
    </r>
    <r>
      <rPr>
        <vertAlign val="subscript"/>
        <sz val="11"/>
        <color theme="1"/>
        <rFont val="Calibri"/>
        <family val="2"/>
        <charset val="238"/>
        <scheme val="minor"/>
      </rPr>
      <t>2</t>
    </r>
    <r>
      <rPr>
        <sz val="11"/>
        <color theme="1"/>
        <rFont val="Calibri"/>
        <family val="2"/>
        <charset val="238"/>
        <scheme val="minor"/>
      </rPr>
      <t>(e)/ brtkm</t>
    </r>
  </si>
  <si>
    <t xml:space="preserve">Źródło: opracowanie własne na podstawie Niebieska Księga, Sektor kolejowy, Infrastruktura kolejowa, wrzesień 2015, Załącznik A, pkt 7 (str. 69) </t>
  </si>
  <si>
    <r>
      <t>Emisyjność GHG [g CO</t>
    </r>
    <r>
      <rPr>
        <vertAlign val="subscript"/>
        <sz val="11"/>
        <color theme="1"/>
        <rFont val="Calibri"/>
        <family val="2"/>
        <charset val="238"/>
        <scheme val="minor"/>
      </rPr>
      <t>2</t>
    </r>
    <r>
      <rPr>
        <sz val="11"/>
        <color theme="1"/>
        <rFont val="Calibri"/>
        <family val="2"/>
        <charset val="238"/>
        <scheme val="minor"/>
      </rPr>
      <t>(e)/ brtkm]</t>
    </r>
  </si>
  <si>
    <t>Koszty jednostkowe zmian klimatu w transporcie kolejowym – indeksacja w czasie (ceny realne od 2022 r.),  wartości na koniec danego roku</t>
  </si>
  <si>
    <t>Motocykle i Motorowery</t>
  </si>
  <si>
    <t xml:space="preserve">[1] Handbook on the External Costs of Transport, EC (January 2019), dołączony plik "FINAL_marginal_costs_air-poll_climate_WTT_noise.xlsx", zakładka "road_airpoll_fleet_all" </t>
  </si>
  <si>
    <t xml:space="preserve">[2] Opracowanie metodyki i oszacowanie kosztów zewnętrznych emisji zanieczyszczeń do powietrza atmosferycznego ze środków transportu drogowego na poziomie kraju, GUS, 2018 (data publikacji 26.02.2019), dołączony plik „Załącznik nr 2 Tablice wynikowe.xlsx”, zakładka "Tabl. 12." oraz dołączony plik "Załącznik nr 4c_autobusy_miejskie.xlsx", zakładka "Ilość_autobusów". </t>
  </si>
  <si>
    <t xml:space="preserve">[3] Wartości dla samochodów osobowych spalinowych ważone, tak jak na potrzeby kosztów eksploatacji i kosztów zmiany klimatu, udziałami wg danych GUS o liczbie pojazdów samochodowych zarejestrowanych w Polsce według wybranych rodzajów stosowanego paliwa na koniec 2019 roku (nie udziałami w liczbie pojazdów wykorzystanej przez GUS w źródle [2] w COPERT IV). Źródło: Transport - wyniki działalności w 2019 roku, GUS, wrzesień 2020, Tablica 20 (53), liczby w pozycji "Razem" według Tablica 12 (45) i Tablica 13 (46) </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</si>
  <si>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</si>
  <si>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t xml:space="preserve">Liczba, średni przebieg roczny oraz praca eksploatacyjna samochodów ciężarowych lekkich w Polsce w 2015 r. </t>
  </si>
  <si>
    <t xml:space="preserve">Źródło: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 </t>
  </si>
  <si>
    <t xml:space="preserve">Średni przebieg roczny i praca eksploatacyjna w tej tabeli zostały przeliczone przez CUPT na podstawie danych z opracowania źródłowego. </t>
  </si>
  <si>
    <t>Pojazdy drogowe elektryczne i hybrydowe-elektryczne</t>
  </si>
  <si>
    <t xml:space="preserve">Koszty jednostkowe zanieczyszczenia powietrza w transporcie drogowym – przykład kształtowania się kosztu w latach [PLN/poj-km] (ceny realne od 2022 r.), wartości na koniec danego roku </t>
  </si>
  <si>
    <t xml:space="preserve">Przyjęto uproszczenie, że udziały pojazdów spalinowych używających benzyny i oleju napędowego będą stałe w całym okresie projekcji. Według przeprowadzonych obliczeń, wpływ zmian prognozowanej struktury floty pojazdów spalinowych na emisyjność jest nieznaczny. </t>
  </si>
  <si>
    <t>LV spalinowy, teren płaski, drogi miejskie inne niż A i S, nawierzchnia nowa</t>
  </si>
  <si>
    <t>LV elektryczny, teren płaski, drogi miejskie inne niż A i S, nawierzchnia nowa</t>
  </si>
  <si>
    <t>HGV spalinowy, teren płaski, drogi miejskie inne niż A i S, nawierzchnia nowa</t>
  </si>
  <si>
    <t>Drogi szybkiego ruchu (A, S)</t>
  </si>
  <si>
    <t>Drogi miejskie inne niż A, S</t>
  </si>
  <si>
    <t>Drogi zamiejskie inne niż A, S</t>
  </si>
  <si>
    <r>
      <t xml:space="preserve">Koszty jednostkowe zanieczyszczenia powietrza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</si>
  <si>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t xml:space="preserve">Wpływ nachylenia drogi na emisje zanieczyszczeń powietrza przez pojazdy drogowe przyjęto (jako uproszczenie) na takim samym poziomie, jak wpływ na zużycie paliwa.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</si>
  <si>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wierszach 135, 136 i 137. W związku z tym w przypadku zmiany w tamtych wierszach (np. zmiany rodzaju drogi, terenu na falisty, nawierzchni na zdegradowaną), wartości przedstawione w poniższej tabeli przykładowej nie będą zgodne z opisami. </t>
    </r>
  </si>
  <si>
    <t>LV ogółem, teren płaski, drogi miejskie inne niż A i S, nawierzchnia nowa, wszystkie przedziały prędkości</t>
  </si>
  <si>
    <t>HGV ogółem, teren płaski, drogi miejskie inne niż A i S, nawierzchnia nowa, wszystkie przedziały prędkości</t>
  </si>
  <si>
    <t>(*) Obszar metropolitalny: miasto lub aglomeracja o liczbie mieszkańców przekraczającej 0,5 miliona (definicja według Handbook on the External Costs of Transport, EC, January 2019)</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</si>
  <si>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</si>
  <si>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t>Koszty jednostkowe zanieczyszczenia powietrza w transporcie kolejowym – przykład kształtowania się kosztu w latach [PLN/poj-km] (ceny realne od 2022 r.), wartości na koniec danego roku</t>
  </si>
  <si>
    <r>
      <t xml:space="preserve">Poniższe stawki kosztów </t>
    </r>
    <r>
      <rPr>
        <u/>
        <sz val="11"/>
        <color theme="1"/>
        <rFont val="Calibri"/>
        <family val="2"/>
        <charset val="238"/>
        <scheme val="minor"/>
      </rPr>
      <t>mogą być stosowane tylko dla</t>
    </r>
    <r>
      <rPr>
        <sz val="11"/>
        <color theme="1"/>
        <rFont val="Calibri"/>
        <family val="2"/>
        <charset val="238"/>
        <scheme val="minor"/>
      </rPr>
      <t xml:space="preserve"> wyceny redukcji emisji niezwiązanej ze zmianą wolumenu transportu (zmniejszeniem liczby pojazdów, zmianą ich prędkości lub typu nawierzchni) na podstawie specyfikacji technicznej taboru. </t>
    </r>
  </si>
  <si>
    <t>Table 14 – Air pollution costs: average damage cost in €/kg emission, national averages for transport emissions in 2016 (excl. maritime) (All effects: health effects, crop loss, biodiversity loss, material damage)</t>
  </si>
  <si>
    <r>
      <t>(**) PM</t>
    </r>
    <r>
      <rPr>
        <vertAlign val="subscript"/>
        <sz val="11"/>
        <color theme="1"/>
        <rFont val="Calibri"/>
        <family val="2"/>
        <charset val="238"/>
        <scheme val="minor"/>
      </rPr>
      <t>10</t>
    </r>
    <r>
      <rPr>
        <sz val="11"/>
        <color theme="1"/>
        <rFont val="Calibri"/>
        <family val="2"/>
        <charset val="238"/>
        <scheme val="minor"/>
      </rPr>
      <t xml:space="preserve"> cost factors can be used for the non-exhaust emission of particles PM, e.g. from brake and tyre abrasion. </t>
    </r>
  </si>
  <si>
    <t xml:space="preserve">(*) Rural area: outside cities; metropolitan area: cities/agglomeration with more than 0.5 million inhabitants. </t>
  </si>
  <si>
    <r>
      <t>ECT Handbook 2019, pkt 4.3.2, str. 47: "</t>
    </r>
    <r>
      <rPr>
        <i/>
        <sz val="11"/>
        <color theme="1"/>
        <rFont val="Calibri"/>
        <family val="2"/>
        <charset val="238"/>
        <scheme val="minor"/>
      </rPr>
      <t>For all data, 2016 was taken as the reference year (transport data and emission factors), also for COPERT.</t>
    </r>
    <r>
      <rPr>
        <sz val="11"/>
        <color theme="1"/>
        <rFont val="Calibri"/>
        <family val="2"/>
        <charset val="238"/>
        <scheme val="minor"/>
      </rPr>
      <t xml:space="preserve">" </t>
    </r>
  </si>
  <si>
    <r>
      <t>ECT Handbook 2019, pkt 4.4, str. 51: "</t>
    </r>
    <r>
      <rPr>
        <i/>
        <sz val="11"/>
        <color theme="1"/>
        <rFont val="Calibri"/>
        <family val="2"/>
        <charset val="238"/>
        <scheme val="minor"/>
      </rPr>
      <t>For air pollution costs, the marginal costs are virtually the same as the average costs. This is mainly because the dose-response relationships between the immissions of air pollutants and health effects (or other damages) are nearly linear according to epidemiological studies.</t>
    </r>
    <r>
      <rPr>
        <sz val="11"/>
        <color theme="1"/>
        <rFont val="Calibri"/>
        <family val="2"/>
        <charset val="238"/>
        <scheme val="minor"/>
      </rPr>
      <t xml:space="preserve">" </t>
    </r>
  </si>
  <si>
    <t xml:space="preserve">Średnie koszty jednostkowe emisji zanieczyszczeń w transporcie lądowym, PLN na tonę substancji wyemitowanej, indeksacja w czasie (ceny realne od 2022 r.), wartości na koniec danego roku </t>
  </si>
  <si>
    <t>(*) Obszar metropolitalny: miasto lub aglomeracja o liczbie mieszkańców przekraczającej 0,5 miliona (definicja według Handbook on the External Costs of Transport, EC, January 2019)</t>
  </si>
  <si>
    <r>
      <t>PM</t>
    </r>
    <r>
      <rPr>
        <vertAlign val="subscript"/>
        <sz val="11"/>
        <color theme="1"/>
        <rFont val="Calibri"/>
        <family val="2"/>
        <charset val="238"/>
        <scheme val="minor"/>
      </rPr>
      <t>2.5</t>
    </r>
    <r>
      <rPr>
        <sz val="11"/>
        <color theme="1"/>
        <rFont val="Calibri"/>
        <family val="2"/>
        <charset val="238"/>
        <scheme val="minor"/>
      </rPr>
      <t xml:space="preserve"> dotyczy emisji pyłów w spalinach (PM exhaust). </t>
    </r>
  </si>
  <si>
    <r>
      <t>PM</t>
    </r>
    <r>
      <rPr>
        <vertAlign val="subscript"/>
        <sz val="11"/>
        <color theme="1"/>
        <rFont val="Calibri"/>
        <family val="2"/>
        <charset val="238"/>
        <scheme val="minor"/>
      </rPr>
      <t>10</t>
    </r>
    <r>
      <rPr>
        <sz val="11"/>
        <color theme="1"/>
        <rFont val="Calibri"/>
        <family val="2"/>
        <charset val="238"/>
        <scheme val="minor"/>
      </rPr>
      <t xml:space="preserve"> dotyczy emisji pyłów innych niż w spalinach (PM non-exhaust), np. ze ścierania hamulców i opon. </t>
    </r>
  </si>
  <si>
    <t>Średnie koszty zanieczyszczeń powietrza przez transport lądowy [2016 €/kg emisji]</t>
  </si>
  <si>
    <r>
      <t xml:space="preserve">Table 15 – Air pollution costs: average damage cost in €/kg emission, national averages for </t>
    </r>
    <r>
      <rPr>
        <u/>
        <sz val="11"/>
        <color theme="1"/>
        <rFont val="Calibri"/>
        <family val="2"/>
        <charset val="238"/>
        <scheme val="minor"/>
      </rPr>
      <t>maritime</t>
    </r>
    <r>
      <rPr>
        <sz val="11"/>
        <color theme="1"/>
        <rFont val="Calibri"/>
        <family val="2"/>
        <charset val="238"/>
        <scheme val="minor"/>
      </rPr>
      <t xml:space="preserve"> emissions in 2016 (all effects: health effects, crop loss, biodiversity loss, material damage) </t>
    </r>
  </si>
  <si>
    <t>Atlantic</t>
  </si>
  <si>
    <t>Baltic</t>
  </si>
  <si>
    <t>Black Sea</t>
  </si>
  <si>
    <t>Mediterranean</t>
  </si>
  <si>
    <t>North Sea</t>
  </si>
  <si>
    <t xml:space="preserve">Odpowiednie wartości jednostkowe (€/tona emisji), jednak bez NH3, oprócz wskazanej tabeli w opracowaniu źródłowym, zawiera też dołączony do opracowania źródłowego plik "FINAL_Complete overview of country data.xlsx", zakładka "AP_input". </t>
  </si>
  <si>
    <t>Krańcowe koszty jednostkowe zanieczyszczenia powietrza PLN/ poj-km, wartości realne dla roku 2016, do dalszej indeksacji</t>
  </si>
  <si>
    <t>Sam. ciężarowe, DMC 3,5 - 7,5 t</t>
  </si>
  <si>
    <t>Sam. ciężarowe, DMC 7,5 - 16 t</t>
  </si>
  <si>
    <t>Sam. ciężarowe, DMC 16 - 32 t</t>
  </si>
  <si>
    <t>Sam. ciężarowe, DMC &gt; 32 t</t>
  </si>
  <si>
    <t>Autobusy i Autokary</t>
  </si>
  <si>
    <t xml:space="preserve">Źródło: Handbook on the External Costs of Transport, EC (January 2019), plik "FINAL_Complete overview of country data.xlsx", zakładka "Noise_output" (porówn. "Handbook…", Table 35 - Total and average noise costs for land-based modes for the EU28) </t>
  </si>
  <si>
    <r>
      <t>Uwzględniono koszty jednostkowe średnie (nie krańcowe). Koszty krańcowe są dostępne w opracowaniu źródłowym tylko w ujęciu bardziej zdezagregowanym i tylko dla UE-28 a nie dla poszczególnych krajów (pkt 6.4 Marginal noise costs). Cyt. ECT Handbook 2019, str. 82: "</t>
    </r>
    <r>
      <rPr>
        <i/>
        <sz val="11"/>
        <color theme="1"/>
        <rFont val="Calibri"/>
        <family val="2"/>
        <charset val="238"/>
        <scheme val="minor"/>
      </rPr>
      <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t>
    </r>
    <r>
      <rPr>
        <sz val="11"/>
        <color theme="1"/>
        <rFont val="Calibri"/>
        <family val="2"/>
        <charset val="238"/>
        <scheme val="minor"/>
      </rPr>
      <t xml:space="preserve">" </t>
    </r>
  </si>
  <si>
    <t xml:space="preserve">Gdzie jednostkowe stawki kosztów na pojazdokilometr były określone dla dwóch lub więcej kategorii pojazdów, przy agregacji zastosowano średnią ważoną udziałami w pracy eksploatacyjnej poj-km według własnych założeń lub, gdzie to było możliwe, najnowszych dostępnych danych polskich tj. za rok 2015. </t>
  </si>
  <si>
    <t>samochody ciężarowe, DMC 3,5 - 7,5 t</t>
  </si>
  <si>
    <t>samochody ciężarowe, DMC 7,5 - 16 t</t>
  </si>
  <si>
    <t>samochody ciężarowe, DMC 16 - 32 t</t>
  </si>
  <si>
    <t>samochody ciężarowe, DMC &gt; 32 t</t>
  </si>
  <si>
    <t>Autobusy miejskie i Autokary</t>
  </si>
  <si>
    <t xml:space="preserve">W ten sposób uśredniono: [1] stawki dla samochodów ciężarowych w 4 przedziałach (dot. dopuszczalnej masy całkowitej DMC), [2] stawki dla pojazdów „Bus” i „Coach”, tzn. "Autobusy miejskie" i "Autokary". </t>
  </si>
  <si>
    <t>Źródło: założenia własne i obliczenia własne na podstawie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t>
  </si>
  <si>
    <t xml:space="preserve">(*) Na potrzeby określenia jednostkowych kosztów hałasu pominięto udział autobusów miejskich wynikający z danych krajowych (wykorzystanych w COPERT IV) o ich pracy eksploatacyjnej [poj-km]. Ponieważ uciążliwość hałasu jest odczuwana głównie na terenach gęsto zamieszkałych (tj. miejskich), przyjęto arbitralnie określony większościowy udział autobusów miejskich. Na innych obszarach autobusy miejskie nie występują w ruchu lub ich udział jest niewielki, więc tam uśredniona stawka dla autobusów nie będzie stosowana lub jej wpływ na wyniki analizy będzie nieznaczny. </t>
  </si>
  <si>
    <t xml:space="preserve">Liczba, średni przebieg roczny oraz praca eksploatacyjna samochodów ciężarowych w Polsce w 2015 r. </t>
  </si>
  <si>
    <t>DMC 3,5 - 7,5 t</t>
  </si>
  <si>
    <t>DMC 7,5 - 14 t</t>
  </si>
  <si>
    <t>DMC 14 - 32 t (34 t przegubowe)</t>
  </si>
  <si>
    <t>DMC &gt; 32 t (34 t przegubowe)</t>
  </si>
  <si>
    <t xml:space="preserve">Źródło: „Opracowanie metodyki i oszacowanie kosztów zewnętrznych emisji zanieczyszczeń do powietrza atmosferycznego ze środków transportu drogowego na poziomie kraju”, GUS, 2018 (data publikacji: 26.02.2019), dołączony plik „Załącznik nr 2 Tablice wynikowe.xlsx” </t>
  </si>
  <si>
    <t xml:space="preserve">Średni przebieg roczny i praca eksploatacyjna w tej tabeli zostały przeliczone lub obliczone przez CUPT na podstawie danych z opracowania źródłowego. </t>
  </si>
  <si>
    <r>
      <t xml:space="preserve">Średnie koszty jednostkowe hałasu samochodów </t>
    </r>
    <r>
      <rPr>
        <b/>
        <u/>
        <sz val="11"/>
        <rFont val="Calibri"/>
        <family val="2"/>
        <charset val="238"/>
        <scheme val="minor"/>
      </rPr>
      <t>spalinowych</t>
    </r>
    <r>
      <rPr>
        <b/>
        <sz val="11"/>
        <rFont val="Calibri"/>
        <family val="2"/>
        <charset val="238"/>
        <scheme val="minor"/>
      </rPr>
      <t xml:space="preserve"> [PLN/poj-km] </t>
    </r>
    <r>
      <rPr>
        <b/>
        <sz val="11"/>
        <rFont val="Calibri"/>
        <family val="2"/>
        <charset val="238"/>
      </rPr>
      <t>–</t>
    </r>
    <r>
      <rPr>
        <b/>
        <sz val="11"/>
        <rFont val="Calibri"/>
        <family val="2"/>
        <charset val="238"/>
        <scheme val="minor"/>
      </rPr>
      <t xml:space="preserve"> Polska, indeksacja w czasie (ceny realne od 2022 r.), wartości na koniec danego roku, przed uwzględnieniem przeliczników </t>
    </r>
  </si>
  <si>
    <t xml:space="preserve">Źródło: obliczenia własne na podstawie Handbook on the External Costs of Transport, EC (January 2019), plik "FINAL_marginal_costs_air-poll_climate_WTT_noise.xlsx", zakładka "noise_all" </t>
  </si>
  <si>
    <r>
      <t xml:space="preserve">Koszty jednostkowe hałasu samochodów </t>
    </r>
    <r>
      <rPr>
        <b/>
        <u/>
        <sz val="11"/>
        <rFont val="Calibri"/>
        <family val="2"/>
        <charset val="238"/>
        <scheme val="minor"/>
      </rPr>
      <t>spalinowych</t>
    </r>
    <r>
      <rPr>
        <b/>
        <sz val="11"/>
        <rFont val="Calibri"/>
        <family val="2"/>
        <charset val="238"/>
        <scheme val="minor"/>
      </rPr>
      <t xml:space="preserve"> – przykład kształtowania się kosztu w latach [PLN/poj-km] (ceny realne od 2022 r.), wartości na koniec danego roku </t>
    </r>
  </si>
  <si>
    <r>
      <t xml:space="preserve">Koszty jednostkowe hałasu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</si>
  <si>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t>Autobusy i Autokary 
(wyszczególnienie poniżej)</t>
  </si>
  <si>
    <t>Samochody ciężarowe, 
DMC 3,5 - 7,5 t</t>
  </si>
  <si>
    <t>Samochody ciężarowe, 
DMC 7,5 - 16 t</t>
  </si>
  <si>
    <t>Samochody ciężarowe, 
DMC 16 - 32 t</t>
  </si>
  <si>
    <t>Samochody ciężarowe, 
DMC &gt; 32 t</t>
  </si>
  <si>
    <t>Autobusy i Autokary, wyszczególnienie</t>
  </si>
  <si>
    <t xml:space="preserve">(*) Obszar metropolitalny: miasto lub aglomeracja o liczbie mieszkańców przekraczającej 0,5 miliona (definicja według Handbook on the External Costs of Transport, EC, January 2019). </t>
  </si>
  <si>
    <t>Średnia proporcja ruchu w porach dnia</t>
  </si>
  <si>
    <t>Średni udział ruchu w dzień</t>
  </si>
  <si>
    <t>Średni udział ruchu w nocy</t>
  </si>
  <si>
    <t xml:space="preserve">Źródło: NK drogowa 2015, str. 130 </t>
  </si>
  <si>
    <t xml:space="preserve">"Ponieważ powyższe wartości dotyczą okresów dnia i nocy, proponuje się, aby do obliczeń stosować średnią ważoną kosztów jednostkowych w formule: 15% noc i 85% dzień (zakłada ona 8 -godzinny okres nocny – tak jak to zdefiniowano w dyrektywie UE dotyczącej hałasu; również według GPR 2010 średnio 15% ruchu odbywa się w nocy). w przypadku posiadania bardziej szczegółowych danych odnośnie godzinowego podziału ruchu dla konkretnego projektu należy je wykorzystać." </t>
  </si>
  <si>
    <t xml:space="preserve">Krańcowe koszty jednostkowe hałasu [PLN/poj-km] – Polska, indeksacja w czasie (ceny realne od 2022 r.), wartości na koniec danego roku </t>
  </si>
  <si>
    <t xml:space="preserve">(*) Obszar metropolitalny: miasto lub aglomeracja o liczbie mieszkańców przekraczającej 0,5 miliona (definicja według Handbook on the External Costs of Transport, EC, January 2019) </t>
  </si>
  <si>
    <t xml:space="preserve">II METODA – koszty średnie na osobę </t>
  </si>
  <si>
    <r>
      <t xml:space="preserve">Koszt średni na osobę, na którą znacząco oddziałuje hałas </t>
    </r>
    <r>
      <rPr>
        <b/>
        <u/>
        <sz val="11"/>
        <color theme="1"/>
        <rFont val="Calibri"/>
        <family val="2"/>
        <charset val="238"/>
        <scheme val="minor"/>
      </rPr>
      <t>drogowy</t>
    </r>
    <r>
      <rPr>
        <b/>
        <sz val="11"/>
        <color theme="1"/>
        <rFont val="Calibri"/>
        <family val="2"/>
        <charset val="238"/>
        <scheme val="minor"/>
      </rPr>
      <t>, EUR w 2016 roku</t>
    </r>
  </si>
  <si>
    <r>
      <t xml:space="preserve">Koszt średni na osobę, na którą znacząco oddziałuje hałas </t>
    </r>
    <r>
      <rPr>
        <b/>
        <u/>
        <sz val="11"/>
        <color theme="1"/>
        <rFont val="Calibri"/>
        <family val="2"/>
        <charset val="238"/>
        <scheme val="minor"/>
      </rPr>
      <t>kolejowy</t>
    </r>
    <r>
      <rPr>
        <b/>
        <sz val="11"/>
        <color theme="1"/>
        <rFont val="Calibri"/>
        <family val="2"/>
        <charset val="238"/>
        <scheme val="minor"/>
      </rPr>
      <t>, EUR w 2016 roku</t>
    </r>
  </si>
  <si>
    <r>
      <t xml:space="preserve">Koszt średni na osobę, na którą znacząco oddziałuje hałas </t>
    </r>
    <r>
      <rPr>
        <b/>
        <u/>
        <sz val="11"/>
        <color theme="1"/>
        <rFont val="Calibri"/>
        <family val="2"/>
        <charset val="238"/>
        <scheme val="minor"/>
      </rPr>
      <t>drogowy</t>
    </r>
    <r>
      <rPr>
        <b/>
        <sz val="11"/>
        <color theme="1"/>
        <rFont val="Calibri"/>
        <family val="2"/>
        <charset val="238"/>
        <scheme val="minor"/>
      </rPr>
      <t>, Polska – PLN, indeksacja w czasie (ceny realne od 2022 r.), wartości na koniec danego roku</t>
    </r>
  </si>
  <si>
    <r>
      <t xml:space="preserve">Koszt średni na osobę, na którą znacząco oddziałuje hałas </t>
    </r>
    <r>
      <rPr>
        <b/>
        <u/>
        <sz val="11"/>
        <color theme="1"/>
        <rFont val="Calibri"/>
        <family val="2"/>
        <charset val="238"/>
        <scheme val="minor"/>
      </rPr>
      <t>kolejowy</t>
    </r>
    <r>
      <rPr>
        <b/>
        <sz val="11"/>
        <color theme="1"/>
        <rFont val="Calibri"/>
        <family val="2"/>
        <charset val="238"/>
        <scheme val="minor"/>
      </rPr>
      <t>, Polska – PLN, indeksacja w czasie (ceny realne od 2022 r.), wartości na koniec danego roku</t>
    </r>
  </si>
  <si>
    <t>Różnica kosztu jednostkowego hałasu kolejowego względem drogowego dla Polski</t>
  </si>
  <si>
    <t>Koszty jednostkowe wypadków drogowych ogółem w roku 2018; wartości PLN 2018 dla Polski, do indeksacji</t>
  </si>
  <si>
    <t>Jednostkowy koszt ofiary śmiertelnej (wypadku z ofiarą śmiertelną)</t>
  </si>
  <si>
    <t>Jednostkowy koszt ofiary ciężko rannej (wypadku z ofiarami ciężko rannymi)</t>
  </si>
  <si>
    <t>Jednostkowy koszt ofiary lekko rannej (wypadku z ofiarami lekko rannymi)</t>
  </si>
  <si>
    <t>Jednostkowy koszt strat materialnych w wypadku (*)</t>
  </si>
  <si>
    <t>Jednostkowy koszt wypadku drogowego (**)</t>
  </si>
  <si>
    <r>
      <t xml:space="preserve">Powyższa tabela przedstawia </t>
    </r>
    <r>
      <rPr>
        <u/>
        <sz val="11"/>
        <rFont val="Calibri"/>
        <family val="2"/>
        <charset val="238"/>
        <scheme val="minor"/>
      </rPr>
      <t>koszty jednostkowe średnie</t>
    </r>
    <r>
      <rPr>
        <sz val="11"/>
        <rFont val="Calibri"/>
        <family val="2"/>
        <charset val="238"/>
        <scheme val="minor"/>
      </rPr>
      <t xml:space="preserve"> (nie krańcowe). Jest to zgodne z dotychczasowym podejściem w NK 2015 oraz uzasadnieniem przedstawionym w Handbook on the External Costs of Transport, EC (January 2019), pkt 3.4 Marginal accident costs, str. 39. </t>
    </r>
  </si>
  <si>
    <t>(*) Straty materialne odnoszą się tylko do straty wartości pojazdu drogowego. Z uwagi na brak ewidencjonowania strat w postaci zniszczeń infrastruktury drogowej i innej, dokładna wycena kosztów ich odtworzenia jest niemożliwa. W zakresie kosztów zniszczeń pojazdów, statystyki policyjne dysponują dokładnymi danymi w zakresie wypadków drogowych odnoszącymi się do liczby i rodzaju pojazdu oraz rodzaju zdarzenia, w którym uczestniczyły.</t>
  </si>
  <si>
    <r>
      <t xml:space="preserve">(**) Jednostkowy koszt wypadku drogowego nie jest sumą wartości powyższych </t>
    </r>
    <r>
      <rPr>
        <sz val="11"/>
        <rFont val="Calibri"/>
        <family val="2"/>
        <charset val="238"/>
      </rPr>
      <t>–</t>
    </r>
    <r>
      <rPr>
        <sz val="11"/>
        <rFont val="Calibri"/>
        <family val="2"/>
        <charset val="238"/>
        <scheme val="minor"/>
      </rPr>
      <t xml:space="preserve"> oznacza to, że jednostkowy koszt wypadku uwzględnia dotkliwość wypadków (statystycznie na 1 wypadek drogowy przypada różna liczba zabitych, ciężko rannych i lekko rannych). </t>
    </r>
  </si>
  <si>
    <t xml:space="preserve">Źródło: "Wycena kosztów wypadków i kolizji drogowych na sieci dróg w Polsce na koniec roku 2018, z wyodrębnieniem średnich kosztów społeczno-ekonomicznych wypadków na transeuropejskiej sieci transportowej", Krajowa Rada Bezpieczeństwa Ruchu Drogowego, grudzień 2019, Tabela 6.2, str. 36 </t>
  </si>
  <si>
    <t>Skutki zdarzeń drogowych (*)</t>
  </si>
  <si>
    <t xml:space="preserve">(*) Zdarzenia drogowe obejmują dwie kategorie: Wypadki i Kolizje. Wypadek drogowy to zdarzenie drogowe, w wyniku którego była osoba zabita lub ranna. Kolizja drogowa to zdarzenie drogowe, w którym powstały wyłącznie straty materialne. </t>
  </si>
  <si>
    <t xml:space="preserve">Źródło: "Stan bezpieczeństwa ruchu drogowego oraz działania realizowane w tym zakresie w 2019 r.", Krajowa Rada Bezpieczeństwa Ruchu Drogowego, sierpień 2020, na podstawie danych SEWIK wg stanu na dzień 16 lutego 2020 r., str. 41-42 </t>
  </si>
  <si>
    <t>Proporcje liczby ofiar ciężko rannych i lekko rannych w wypadkach drogowych</t>
  </si>
  <si>
    <t>Straty materialne (*)</t>
  </si>
  <si>
    <t xml:space="preserve">(*) Straty materialne odnoszą się tylko do straty wartości pojazdu drogowego. </t>
  </si>
  <si>
    <t xml:space="preserve">Wyżej wymienione koszty jednostkowe zdarzeń drogowych są właściwe dla sieci TEN-T. </t>
  </si>
  <si>
    <t xml:space="preserve">Koszty jednostkowe wypadków drogowych, PLN/ofiara, Polska – indeksacja w czasie (ceny realne od 2022 r.), wartości na koniec danego roku </t>
  </si>
  <si>
    <r>
      <t xml:space="preserve">Emisje z wytwarzania energii i paliw </t>
    </r>
    <r>
      <rPr>
        <sz val="9"/>
        <color theme="1"/>
        <rFont val="Calibri"/>
        <family val="2"/>
        <charset val="238"/>
        <scheme val="minor"/>
      </rPr>
      <t>(emisje WTT)</t>
    </r>
  </si>
  <si>
    <t xml:space="preserve">(*) Wartości średnie dla 33 portów lotniczych UE. </t>
  </si>
  <si>
    <t xml:space="preserve">Źródło: Handbook on the External Costs of Transport, EC (January 2019), dołączony plik "FINAL_Complete overview of country data.xlsx". Oprócz transportu lotniczego, zamiast wartości dla UE-28 wyszukane zostały odpowiednie wartości dla Polski (o ile takie istniały). </t>
  </si>
  <si>
    <t xml:space="preserve">Źródło: porównanie spalania paliwa statków morskich i rzecznych, Vademecum Beneficjenta, CUPT 2016 </t>
  </si>
  <si>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t>
    </r>
  </si>
  <si>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</si>
  <si>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t>Średnie koszty jednostkowe, wartości dla Polski na 1 stycznia 2022 r. (=koniec 2021 r.), PLN</t>
  </si>
  <si>
    <r>
      <t xml:space="preserve">Emisje z wytwarzania energii i paliw </t>
    </r>
    <r>
      <rPr>
        <sz val="9"/>
        <color theme="1"/>
        <rFont val="Calibri"/>
        <family val="2"/>
        <charset val="238"/>
        <scheme val="minor"/>
      </rPr>
      <t>(emisje WTT)</t>
    </r>
  </si>
  <si>
    <t>Udział emisji WTT w całości</t>
  </si>
  <si>
    <t xml:space="preserve">Powyższa tabela nie uwzględnia zmian struktury floty pojazdów drogowych pod względem rodzaju paliwa (napęd spalinowy, elektryczny). Jednostkowe stawki kosztów prawdopodobnie dotyczą tylko samochodów spalinowych. </t>
  </si>
  <si>
    <t xml:space="preserve">W powyższej tabeli w odniesieniu do wszystkich pozycji oprócz kosztów zmian klimatu zastosowana jest indeksacja skumulowanym wskaźnikiem uwzględniającym 0,8 wzrostu PKB per capita oraz inflację CPI dla Polski (od 2016) na początek roku bazowego analizy. </t>
  </si>
  <si>
    <t xml:space="preserve">W kolejnych latach po roku bazowym, w odniesieniu do wszystkich pozycji oprócz kosztów zmian klimatu, należy zastosować indeksację wskaźnikiem uwzględniającym 0,8 wzrostu PKB per capita (Elastyczność Y), bez inflacji, wskaźniki rok-do-roku: </t>
  </si>
  <si>
    <r>
      <t>W kolejnych latach po roku bazowym, w odniesieniu do kosztów zmiany klimatu należy uwzględnić korektę cenową CO</t>
    </r>
    <r>
      <rPr>
        <vertAlign val="subscript"/>
        <sz val="11"/>
        <color theme="1"/>
        <rFont val="Calibri"/>
        <family val="2"/>
        <charset val="238"/>
        <scheme val="minor"/>
      </rPr>
      <t>2</t>
    </r>
    <r>
      <rPr>
        <sz val="11"/>
        <color theme="1"/>
        <rFont val="Calibri"/>
        <family val="2"/>
        <charset val="238"/>
        <scheme val="minor"/>
      </rPr>
      <t xml:space="preserve"> (w powyższej tabeli jest ona uwzględniona na początek roku bazowego): </t>
    </r>
  </si>
  <si>
    <r>
      <t>Dodatkowo, w kolejnych latach po roku bazowym, w odniesieniu do kosztów zmian klimatu, dla elektrycznych pociągów pasażerskich i towarowych należy uwzględnić spadek wskaźnika emisji CO</t>
    </r>
    <r>
      <rPr>
        <vertAlign val="subscript"/>
        <sz val="11"/>
        <color theme="1"/>
        <rFont val="Calibri"/>
        <family val="2"/>
        <charset val="238"/>
        <scheme val="minor"/>
      </rPr>
      <t>2</t>
    </r>
    <r>
      <rPr>
        <sz val="11"/>
        <color theme="1"/>
        <rFont val="Calibri"/>
        <family val="2"/>
        <charset val="238"/>
        <scheme val="minor"/>
      </rPr>
      <t xml:space="preserve"> sieciowej energii elektrycznej (w powyższej tabeli jest on uwzględniony na początek roku bazowego): </t>
    </r>
  </si>
  <si>
    <t xml:space="preserve">Jednostkowe koszty zmian klimatu dla elektrycznych pociągów pasażerskich i towarowych są zerowe. </t>
  </si>
  <si>
    <t xml:space="preserve">Ekonomiczne koszty zewnętrzne związane z wytwarzaniem energii elektrycznej do napędzania pojazdów, w tym m.in. wpływ na zmiany klimatyczne i emisje zanieczyszczeń powietrza, jest ujęty w osobnej pozycji "Emisje z wytwarzania energii i paliw (emisje WTT)". </t>
  </si>
  <si>
    <t xml:space="preserve">Pozycja "Emisje z wytwarzania energii i paliw (emisje WTT)" zgodnie z nazwą obejmuje efekty zewnętrzne nie tylko z wytwarzania energii elektrycznej, ale również z wydobycia, przetwórstwa i dystrybucji paliw. </t>
  </si>
  <si>
    <t xml:space="preserve">Wybrane koszty jednostkowe w transporcie pasażerskim drogowym – przykład kształtowania się kosztu w latach [PLN/pas-km] indeksacja w czasie (ceny realne od 2022 r.), wartości na koniec danego roku </t>
  </si>
  <si>
    <t xml:space="preserve">Wybrane koszty jednostkowe w transporcie pasażerskim kolejowym – przykład kształtowania się kosztu w latach [PLN/pas-km] indeksacja w czasie (ceny realne od 2022 r.), wartości na koniec danego roku </t>
  </si>
  <si>
    <t xml:space="preserve">Jest to podejście inne niż na poprzednich zakładkach dotyczących poszczególnych efektów ekonomicznych. Nie można więc łączyć w jednej analizie ani stosować wymiennie stawek z tej zakładki i z pozostałych zakładek. </t>
  </si>
  <si>
    <t>(koszty jednostkowe dotyczące dróg krajowych, w tym również klasy A i S, o nawierzchni asfaltowej i betonowej)</t>
  </si>
  <si>
    <t xml:space="preserve">Zakłada się brak realnego wzrostu jednostkowych kosztów utrzymania infrastruktury drogowej w czasie. Ewentualny wzrost z tytułu kosztów pracy oraz kosztów energii będzie rekompensowany wzrostem wydajności (np. z tytułu stosowania nowych technologii). Dlatego należy uwzględnić tylko indeksację nominalną do roku bazowego wskaźnikiem inflacji cen produkcji budowlano-montażowej. </t>
  </si>
  <si>
    <t xml:space="preserve">Koszty jednostkowe eksploatacji i utrzymania bieżącego – kształtowanie się kosztu w latach [PLN/km] netto, indeksacja w czasie (ceny realne od 2022 r.), wartości na koniec danego roku </t>
  </si>
  <si>
    <t>Klasa i przekrój drogi</t>
  </si>
  <si>
    <t>A, S 2x2</t>
  </si>
  <si>
    <t>S 2+1</t>
  </si>
  <si>
    <t>S 1x2</t>
  </si>
  <si>
    <t>GP 2x2</t>
  </si>
  <si>
    <t>GP 1x2</t>
  </si>
  <si>
    <t>Źródło: opracowanie własne na podstawie danych z przetargów GDDKiA “Utrzymaj standard” 2013, Niebieska Księga, Infrastruktura drogowa, lipiec 2015, Załącznik A, pkt 9 (str. 131)</t>
  </si>
  <si>
    <t xml:space="preserve">- Elektroniczny System Poboru Opłat – viaTOLL – funkcjonujący do końca września 2021 r., </t>
  </si>
  <si>
    <t xml:space="preserve">- System Poboru Opłaty Elektronicznej KAS – e-TOLL – system w trakcie budowy, funkcjonujący od 24 czerwca 2021 r., </t>
  </si>
  <si>
    <t xml:space="preserve">Według stanu w II połowie 2021 roku, systemy poboru opłat za przejazd drogami publicznymi zarządzanymi przez GDDKiA w Polsce obejmowały: </t>
  </si>
  <si>
    <t xml:space="preserve">- Manualny System Poboru Opłat – system poboru opłaty za przejazd autostradą, dotyczy odcinków A2 i A4 zarządzanych przez GDDKiA, dostępny dla tzw. pojazdów lekkich (o dopuszczalnej masie całkowitej ≤ 3,5 tony), funkcjonujący do dnia 30 listopada 2021 r. </t>
  </si>
  <si>
    <t xml:space="preserve">Źródło: Ministerstwo Finansów – Krajowa Administracja Skarbowa, na podstawie planu finansowego Krajowego Funduszu Drogowego (KFD). </t>
  </si>
  <si>
    <t>Kwota kosztów przeliczona na 
12 miesięcy, poziom cenowy 2021</t>
  </si>
  <si>
    <t>Koszty związane z eksploatacją Elektronicznego Systemu Poboru Opłat (łącznie viaTOLL oraz e-TOLL), wartości PLN netto 2021 dla Polski, do indeksacji</t>
  </si>
  <si>
    <t xml:space="preserve">Koszty jednostkowe eksploatacji elektronicznego systemu poboru opłat za przejazd drogami publicznymi zarządzanymi przez GDDKiA – kształtowanie się kosztu w latach [PLN/km] netto, indeksacja w czasie (ceny realne od 2022 r.), wartości na koniec danego roku </t>
  </si>
  <si>
    <r>
      <t>Emisje CO</t>
    </r>
    <r>
      <rPr>
        <b/>
        <vertAlign val="subscript"/>
        <sz val="16"/>
        <rFont val="Calibri"/>
        <family val="2"/>
        <charset val="238"/>
        <scheme val="minor"/>
      </rPr>
      <t>2</t>
    </r>
    <r>
      <rPr>
        <b/>
        <sz val="16"/>
        <rFont val="Calibri"/>
        <family val="2"/>
        <charset val="238"/>
        <scheme val="minor"/>
      </rPr>
      <t xml:space="preserve"> i zanieczyszczeń powietrza przez autobusy komunikacji miejskiej</t>
    </r>
  </si>
  <si>
    <t>Dyrektywa 91/542/EEC, nowy tekst Załącznika I pkt 6.2.1 wiersz B</t>
  </si>
  <si>
    <t>Dyrektywa 1999/96/WE, Załącznik I, pkt 6.2.1, wiersz A</t>
  </si>
  <si>
    <t>Dyrektywa 1999/96/WE, Załącznik I, pkt 6.2.1, wiersz B1</t>
  </si>
  <si>
    <t>Dyrektywa 1999/96/WE, Załącznik I, pkt 6.2.1, wiersz B2</t>
  </si>
  <si>
    <t>Rozporządzenie (WE) 595/2009, Załącznik I</t>
  </si>
  <si>
    <t>Council Directive 91/542/EEC of 1 October 1991 amending Directive 88/77/EEC on the approximation of the laws of the Member States relating to the measures to be taken against the emission of gaseous pollutants from diesel engines for use in vehicles, nowy tekst Załącznika I pkt 6.2.1 wiersz B</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</si>
  <si>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A</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</si>
  <si>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B1</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</si>
  <si>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B2</t>
  </si>
  <si>
    <t>Rozporządzenie Parlamentu Europejskiego i Rady (WE) Nr 595/2009 z dnia 18 czerwca 2009 r. dotyczące homologacji typu pojazdów silnikowych i silników w odniesieniu do emisji zanieczyszczeń pochodzących z pojazdów ciężarowych o dużej ładowności (Euro VI) oraz w sprawie dostępu do informacji dotyczących naprawy i obsługi technicznej pojazdów, zmieniające rozporządzenie (WE) nr 715/2007 i dyrektywę 2007/46/WE oraz uchylające dyrektywy 80/1269/EWG, 2005/55/WE i 2005/78/WE, Załącznik I</t>
  </si>
  <si>
    <t>Źródło (za wyjątkiem NMHC/NMVOC):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</si>
  <si>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EMEP/EEA air pollutant emission inventory guidebook, 2019, Additional Files, Part B: sectoral guidance chapters, 1.A.3.b.i-iv Road transport 2019 (update October 2020), Table 3-12: Tier 1 CO2 emission factors for different road transport fossil fuels (page 22), all vehicle types</t>
  </si>
  <si>
    <t>EMEP/EEA air pollutant emission inventory guidebook, 2019, Additional Files, Part B: sectoral guidance chapters, 1.A.3.b.i-iv Road transport 2019 (update October 2020), Table 3-28: Default calorific and density values of primary fuels (page 42)</t>
  </si>
  <si>
    <t>EIB Project Carbon Footprint Methodologies. Methodologies for the Assessment of Project GHG Emissions and Emission Variations (wersja 11.1, lipiec 2020), Default Emission Factors, str. 26. Pierwotne źródło danych wykazane w "EIB Project Carbon Footprint Methodologies": API Compendium, 2009 - Compendium of Greenhouse Gas Emissions Methodologies for the oil and natural gas industry</t>
  </si>
  <si>
    <t>Zużycie energii przez dany autobus na 100 km</t>
  </si>
  <si>
    <t>100 km</t>
  </si>
  <si>
    <t>kWh/100 km</t>
  </si>
  <si>
    <t>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</si>
  <si>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 xml:space="preserve">W kolejnych latach należy uwzględnić zmiany tego wskaźnika względem poziomu wyjściowego z roku 2019, ze względu na zmiany struktury paliwowej energetyki w Polsce: </t>
  </si>
  <si>
    <t>Zmiana wskaźnika względem 2019 r.</t>
  </si>
  <si>
    <t xml:space="preserve">Dlatego w niniejszym pliku wyjściowe koszty jednostkowe wyrażone w EUR 2016 zostały przemnożone przez dwa czynniki, w celu dostosowania ich do poziomu cenowego właściwego dla Polski: </t>
  </si>
  <si>
    <t>Autobus - LPG</t>
  </si>
  <si>
    <t>Wartość energetyczna LPG</t>
  </si>
  <si>
    <r>
      <t>W powyższej tabeli w odniesieniu do kosztów zmian klimatu uwzględniona jest indeksacja skumulowanym wskaźnikiem 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 (obejmującym również skumulowaną inflację CPI dla Polski), bez wzrostu PKB per capita, na początek roku bazowego analizy. </t>
    </r>
  </si>
  <si>
    <r>
      <t>Zmiany kosztu jednostkowego emisji CO</t>
    </r>
    <r>
      <rPr>
        <vertAlign val="subscript"/>
        <sz val="11"/>
        <color theme="1"/>
        <rFont val="Calibri"/>
        <family val="2"/>
        <charset val="238"/>
        <scheme val="minor"/>
      </rPr>
      <t>2</t>
    </r>
  </si>
  <si>
    <r>
      <t>Zmiany kosztu jednostkowego emisji CO</t>
    </r>
    <r>
      <rPr>
        <vertAlign val="subscript"/>
        <sz val="11"/>
        <rFont val="Calibri"/>
        <family val="2"/>
        <charset val="238"/>
        <scheme val="minor"/>
      </rPr>
      <t>2</t>
    </r>
    <r>
      <rPr>
        <sz val="11"/>
        <rFont val="Calibri"/>
        <family val="2"/>
        <charset val="238"/>
        <scheme val="minor"/>
      </rPr>
      <t xml:space="preserve"> względem poziomu wyjściowego z roku 2016</t>
    </r>
  </si>
  <si>
    <t>Źródło: GUS, https://stat.gov.pl/wskazniki-makroekonomiczne/ - Roczne wskaźniki makroekonomiczne, arkusz "WSKAŹNIKI CEN" (aktualizacja 20.04.2022)</t>
  </si>
  <si>
    <t>Źródło: GUS, https://stat.gov.pl/wskazniki-makroekonomiczne/ - Roczne wskaźniki makroekonomiczne, arkusz "RACH_NARODOWE_ESA2010" (aktualizacja 27.04.2022)</t>
  </si>
  <si>
    <t>Źródło: GUS, https://stat.gov.pl/wskazniki-makroekonomiczne/ - Roczne wskaźniki makroekonomiczne, arkusz "LUDNOŚĆ" (aktualizacja 06.05.2022)</t>
  </si>
  <si>
    <t>Źródło: Wytyczne dotyczące stosowania jednolitych wskaźników makroekonomicznych będących podstawą oszacowania skutków finansowych projektowanych ustaw, Minister Finansów, 29 kwietnia 2022 r.</t>
  </si>
  <si>
    <r>
      <t>Poc. towarowe, 
krótkie kontenerowe (420</t>
    </r>
    <r>
      <rPr>
        <sz val="11"/>
        <rFont val="Calibri"/>
        <family val="2"/>
        <charset val="238"/>
      </rPr>
      <t> </t>
    </r>
    <r>
      <rPr>
        <sz val="11"/>
        <rFont val="Calibri"/>
        <family val="2"/>
        <charset val="238"/>
        <scheme val="minor"/>
      </rPr>
      <t>m), 
elektryczne</t>
    </r>
  </si>
  <si>
    <t>Poc. towarowe, 
krótkie kontenerowe (420 m), 
spalinowe (olej napędowy), EGR/SRC</t>
  </si>
  <si>
    <t>Poc. towarowe, 
krótkie kontenerowe (420 m), 
spalinowe (olej napędowy)</t>
  </si>
  <si>
    <t>Poc. towarowe, 
krótkie masowe (300 m), 
elektryczne</t>
  </si>
  <si>
    <t>Poc. towarowe, 
krótkie masowe (300 m), 
spalinowe (olej napędowy), EGR/SRC</t>
  </si>
  <si>
    <t>Poc. towarowe, 
krótkie masowe (300 m), 
spalinowe (olej napędowy)</t>
  </si>
  <si>
    <t>Poc. towarowe, 
długie kontenerowe (620 m), 
elektryczne</t>
  </si>
  <si>
    <t>Poc. towarowe, 
długie kontenerowe (620 m), 
spalinowe (olej napędowy), EGR/SRC</t>
  </si>
  <si>
    <t>Poc. towarowe, 
długie kontenerowe (620 m), 
spalinowe (olej napędowy)</t>
  </si>
  <si>
    <t>Poc. towarowe, 
długie masowe (440 m), 
elektryczne</t>
  </si>
  <si>
    <t>Poc. towarowe, 
długie masowe (440 m), 
spalinowe (olej napędowy), EGR/SRC</t>
  </si>
  <si>
    <t>Poc. towarowe, 
długie masowe (440 m), 
spalinowe (olej napędowy)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</si>
</sst>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_ ;\-#,##0.00\ "/>
    <numFmt numFmtId="165" formatCode="#,##0.000"/>
    <numFmt numFmtId="166" formatCode="#,##0.0000"/>
    <numFmt numFmtId="167" formatCode="\+#,##0.00;\–#,##0.00;&quot;–&quot;;@"/>
    <numFmt numFmtId="168" formatCode="0.000"/>
    <numFmt numFmtId="169" formatCode="0.0000"/>
    <numFmt numFmtId="170" formatCode="#,##0.0"/>
    <numFmt numFmtId="171" formatCode="#,##0.000000"/>
    <numFmt numFmtId="172" formatCode="0.0%"/>
    <numFmt numFmtId="173" formatCode="\+#,##0.00%;\–#,##0.00%;&quot;–&quot;;@"/>
    <numFmt numFmtId="174" formatCode="#,##0;\–#,##0;&quot;–&quot;;@"/>
    <numFmt numFmtId="175" formatCode="#,##0.00%;\–#,##0.00%;&quot;–&quot;;@"/>
    <numFmt numFmtId="176" formatCode="0.000000"/>
    <numFmt numFmtId="177" formatCode="\+#,##0.0%;\–#,##0.0%;&quot;–&quot;;@"/>
    <numFmt numFmtId="178" formatCode="mmm\-yyyy"/>
    <numFmt numFmtId="179" formatCode="\+#,##0.0;\–#,##0.0;&quot;–&quot;;@"/>
  </numFmts>
  <fonts count="5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b/>
      <sz val="16"/>
      <name val="Calibri"/>
      <family val="2"/>
      <charset val="238"/>
      <scheme val="minor"/>
    </font>
    <font>
      <b/>
      <sz val="11"/>
      <name val="Calibri"/>
      <family val="2"/>
      <charset val="238"/>
      <scheme val="minor"/>
    </font>
    <font>
      <u/>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3"/>
      <name val="Calibri"/>
      <family val="2"/>
      <charset val="238"/>
      <scheme val="minor"/>
    </font>
    <font>
      <b/>
      <sz val="9"/>
      <color indexed="81"/>
      <name val="Tahoma"/>
      <family val="2"/>
      <charset val="238"/>
    </font>
    <font>
      <sz val="9"/>
      <color indexed="81"/>
      <name val="Tahoma"/>
      <family val="2"/>
      <charset val="238"/>
    </font>
    <font>
      <sz val="11"/>
      <color indexed="20"/>
      <name val="Czcionka tekstu podstawowego"/>
      <family val="2"/>
      <charset val="238"/>
    </font>
    <font>
      <i/>
      <sz val="11"/>
      <name val="Calibri"/>
      <family val="2"/>
      <charset val="238"/>
      <scheme val="minor"/>
    </font>
    <font>
      <b/>
      <sz val="12"/>
      <name val="Calibri"/>
      <family val="2"/>
      <charset val="238"/>
      <scheme val="minor"/>
    </font>
    <font>
      <b/>
      <u/>
      <sz val="12"/>
      <name val="Calibri"/>
      <family val="2"/>
      <charset val="238"/>
      <scheme val="minor"/>
    </font>
    <font>
      <b/>
      <i/>
      <sz val="14"/>
      <name val="Calibri"/>
      <family val="2"/>
      <charset val="238"/>
      <scheme val="minor"/>
    </font>
    <font>
      <sz val="10"/>
      <name val="Czcionka tekstu podstawowego"/>
      <charset val="238"/>
    </font>
    <font>
      <vertAlign val="subscript"/>
      <sz val="11"/>
      <color theme="1"/>
      <name val="Calibri"/>
      <family val="2"/>
      <charset val="238"/>
      <scheme val="minor"/>
    </font>
    <font>
      <b/>
      <vertAlign val="subscript"/>
      <sz val="11"/>
      <color theme="1"/>
      <name val="Calibri"/>
      <family val="2"/>
      <charset val="238"/>
      <scheme val="minor"/>
    </font>
    <font>
      <sz val="8"/>
      <color indexed="81"/>
      <name val="Tahoma"/>
      <family val="2"/>
      <charset val="238"/>
    </font>
    <font>
      <b/>
      <sz val="8"/>
      <color indexed="81"/>
      <name val="Tahoma"/>
      <family val="2"/>
      <charset val="238"/>
    </font>
    <font>
      <sz val="11"/>
      <color theme="1"/>
      <name val="Czcionka tekstu podstawowego"/>
      <family val="2"/>
      <charset val="238"/>
    </font>
    <font>
      <i/>
      <vertAlign val="subscript"/>
      <sz val="11"/>
      <color theme="1"/>
      <name val="Calibri"/>
      <family val="2"/>
      <charset val="238"/>
      <scheme val="minor"/>
    </font>
    <font>
      <u/>
      <sz val="9"/>
      <color indexed="81"/>
      <name val="Tahoma"/>
      <family val="2"/>
      <charset val="238"/>
    </font>
    <font>
      <i/>
      <sz val="9"/>
      <color indexed="81"/>
      <name val="Tahoma"/>
      <family val="2"/>
      <charset val="238"/>
    </font>
    <font>
      <sz val="11"/>
      <color theme="1"/>
      <name val="Calibri"/>
      <family val="2"/>
      <charset val="238"/>
    </font>
    <font>
      <i/>
      <sz val="10"/>
      <color theme="1"/>
      <name val="Calibri"/>
      <family val="2"/>
      <charset val="238"/>
      <scheme val="minor"/>
    </font>
    <font>
      <b/>
      <i/>
      <sz val="10"/>
      <color theme="1"/>
      <name val="Calibri"/>
      <family val="2"/>
      <charset val="238"/>
      <scheme val="minor"/>
    </font>
    <font>
      <i/>
      <sz val="10"/>
      <name val="Calibri"/>
      <family val="2"/>
      <charset val="238"/>
      <scheme val="minor"/>
    </font>
    <font>
      <sz val="11"/>
      <color rgb="FF000000"/>
      <name val="Calibri"/>
      <family val="2"/>
      <charset val="238"/>
      <scheme val="minor"/>
    </font>
    <font>
      <u/>
      <sz val="11"/>
      <name val="Calibri"/>
      <family val="2"/>
      <charset val="238"/>
      <scheme val="minor"/>
    </font>
    <font>
      <b/>
      <sz val="16"/>
      <name val="Calibri"/>
      <family val="2"/>
      <charset val="238"/>
    </font>
    <font>
      <b/>
      <sz val="11"/>
      <name val="Calibri"/>
      <family val="2"/>
      <charset val="238"/>
    </font>
    <font>
      <b/>
      <i/>
      <sz val="11"/>
      <color theme="1"/>
      <name val="Calibri"/>
      <family val="2"/>
      <charset val="238"/>
      <scheme val="minor"/>
    </font>
    <font>
      <b/>
      <sz val="11"/>
      <color theme="1"/>
      <name val="Calibri"/>
      <family val="2"/>
      <charset val="238"/>
    </font>
    <font>
      <sz val="9"/>
      <color theme="1"/>
      <name val="Calibri"/>
      <family val="2"/>
      <charset val="238"/>
      <scheme val="minor"/>
    </font>
    <font>
      <u/>
      <sz val="11"/>
      <color theme="10"/>
      <name val="Calibri"/>
      <family val="2"/>
      <charset val="238"/>
      <scheme val="minor"/>
    </font>
    <font>
      <b/>
      <vertAlign val="subscript"/>
      <sz val="16"/>
      <name val="Calibri"/>
      <family val="2"/>
      <charset val="238"/>
      <scheme val="minor"/>
    </font>
    <font>
      <u/>
      <vertAlign val="subscript"/>
      <sz val="11"/>
      <color theme="10"/>
      <name val="Calibri"/>
      <family val="2"/>
      <charset val="238"/>
      <scheme val="minor"/>
    </font>
    <font>
      <vertAlign val="superscript"/>
      <sz val="11"/>
      <color theme="1"/>
      <name val="Calibri"/>
      <family val="2"/>
      <charset val="238"/>
      <scheme val="minor"/>
    </font>
    <font>
      <i/>
      <vertAlign val="superscript"/>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i/>
      <sz val="8"/>
      <color theme="1"/>
      <name val="Calibri"/>
      <family val="2"/>
      <charset val="238"/>
      <scheme val="minor"/>
    </font>
    <font>
      <i/>
      <sz val="14"/>
      <color theme="1"/>
      <name val="Calibri"/>
      <family val="2"/>
      <charset val="238"/>
      <scheme val="minor"/>
    </font>
    <font>
      <sz val="8"/>
      <color theme="1"/>
      <name val="Calibri"/>
      <family val="2"/>
      <charset val="238"/>
      <scheme val="minor"/>
    </font>
    <font>
      <sz val="10"/>
      <color theme="1"/>
      <name val="Calibri"/>
      <family val="2"/>
      <charset val="238"/>
      <scheme val="minor"/>
    </font>
    <font>
      <b/>
      <u/>
      <sz val="11"/>
      <color theme="1"/>
      <name val="Calibri"/>
      <family val="2"/>
      <charset val="238"/>
      <scheme val="minor"/>
    </font>
    <font>
      <b/>
      <u/>
      <sz val="11"/>
      <name val="Calibri"/>
      <family val="2"/>
      <charset val="238"/>
      <scheme val="minor"/>
    </font>
    <font>
      <sz val="11"/>
      <name val="Calibri"/>
      <family val="2"/>
      <charset val="238"/>
    </font>
    <font>
      <vertAlign val="subscript"/>
      <sz val="11"/>
      <name val="Calibri"/>
      <family val="2"/>
      <charset val="238"/>
      <scheme val="minor"/>
    </font>
  </fonts>
  <fills count="14">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lightGray"/>
    </fill>
    <fill>
      <patternFill patternType="solid">
        <fgColor theme="4" tint="0.79998168889431442"/>
        <bgColor indexed="65"/>
      </patternFill>
    </fill>
    <fill>
      <patternFill patternType="solid">
        <fgColor indexed="45"/>
      </patternFill>
    </fill>
    <fill>
      <patternFill patternType="solid">
        <fgColor rgb="FFFFFF00"/>
        <bgColor indexed="64"/>
      </patternFill>
    </fill>
    <fill>
      <patternFill patternType="solid">
        <fgColor theme="0"/>
        <bgColor indexed="64"/>
      </patternFill>
    </fill>
    <fill>
      <patternFill patternType="lightGray">
        <bgColor theme="0"/>
      </patternFill>
    </fill>
    <fill>
      <patternFill patternType="gray125">
        <bgColor auto="1"/>
      </patternFill>
    </fill>
    <fill>
      <patternFill patternType="gray125">
        <bgColor theme="0"/>
      </patternFill>
    </fill>
    <fill>
      <patternFill patternType="solid">
        <fgColor indexed="65"/>
        <bgColor indexed="64"/>
      </patternFill>
    </fill>
    <fill>
      <patternFill patternType="solid">
        <fgColor them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dotted">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indexed="64"/>
      </bottom>
      <diagonal/>
    </border>
    <border>
      <left style="medium">
        <color auto="1"/>
      </left>
      <right style="thin">
        <color auto="1"/>
      </right>
      <top/>
      <bottom style="medium">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right/>
      <top style="medium">
        <color auto="1"/>
      </top>
      <bottom/>
      <diagonal/>
    </border>
    <border>
      <left style="double">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auto="1"/>
      </left>
      <right/>
      <top/>
      <bottom style="thin">
        <color auto="1"/>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auto="1"/>
      </left>
      <right/>
      <top/>
      <bottom/>
      <diagonal/>
    </border>
    <border diagonalUp="1" diagonalDown="1">
      <left style="thin">
        <color indexed="64"/>
      </left>
      <right style="double">
        <color indexed="64"/>
      </right>
      <top style="thin">
        <color indexed="64"/>
      </top>
      <bottom style="thin">
        <color indexed="64"/>
      </bottom>
      <diagonal style="dotted">
        <color indexed="64"/>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diagonal/>
    </border>
    <border diagonalUp="1" diagonalDown="1">
      <left style="hair">
        <color auto="1"/>
      </left>
      <right style="hair">
        <color auto="1"/>
      </right>
      <top style="hair">
        <color auto="1"/>
      </top>
      <bottom style="hair">
        <color auto="1"/>
      </bottom>
      <diagonal style="dotted">
        <color auto="1"/>
      </diagonal>
    </border>
    <border>
      <left/>
      <right style="double">
        <color indexed="64"/>
      </right>
      <top style="medium">
        <color indexed="64"/>
      </top>
      <bottom/>
      <diagonal/>
    </border>
    <border diagonalUp="1" diagonalDown="1">
      <left style="hair">
        <color auto="1"/>
      </left>
      <right style="double">
        <color auto="1"/>
      </right>
      <top style="thin">
        <color indexed="64"/>
      </top>
      <bottom style="hair">
        <color auto="1"/>
      </bottom>
      <diagonal style="dotted">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diagonalDown="1">
      <left style="thin">
        <color indexed="64"/>
      </left>
      <right style="thin">
        <color indexed="64"/>
      </right>
      <top style="thin">
        <color indexed="64"/>
      </top>
      <bottom/>
      <diagonal style="dotted">
        <color indexed="64"/>
      </diagonal>
    </border>
    <border diagonalUp="1" diagonalDown="1">
      <left style="thin">
        <color indexed="64"/>
      </left>
      <right style="thin">
        <color indexed="64"/>
      </right>
      <top/>
      <bottom style="thin">
        <color indexed="64"/>
      </bottom>
      <diagonal style="dotted">
        <color indexed="64"/>
      </diagonal>
    </border>
  </borders>
  <cellStyleXfs count="6">
    <xf numFmtId="0" fontId="0" fillId="0" borderId="0"/>
    <xf numFmtId="0" fontId="3" fillId="0" borderId="0"/>
    <xf numFmtId="168" fontId="9" fillId="5" borderId="0"/>
    <xf numFmtId="0" fontId="12" fillId="6" borderId="0" applyNumberFormat="0" applyBorder="0" applyAlignment="0" applyProtection="0"/>
    <xf numFmtId="0" fontId="22" fillId="0" borderId="0"/>
    <xf numFmtId="0" fontId="37" fillId="0" borderId="0" applyNumberFormat="0" applyFill="0" applyBorder="0" applyAlignment="0" applyProtection="0"/>
  </cellStyleXfs>
  <cellXfs count="863">
    <xf numFmtId="0" fontId="0" fillId="0" borderId="0" xfId="0"/>
    <xf numFmtId="0" fontId="2" fillId="0" borderId="0" xfId="0" applyFont="1"/>
    <xf numFmtId="0" fontId="1" fillId="2" borderId="2" xfId="0" applyFont="1" applyFill="1" applyBorder="1" applyAlignment="1">
      <alignment horizontal="center" shrinkToFit="1"/>
    </xf>
    <xf numFmtId="164" fontId="1" fillId="3" borderId="1" xfId="0" applyNumberFormat="1" applyFont="1" applyFill="1" applyBorder="1" applyAlignment="1">
      <alignment horizontal="center"/>
    </xf>
    <xf numFmtId="0" fontId="4" fillId="2" borderId="0" xfId="1" applyFont="1" applyFill="1" applyBorder="1" applyAlignment="1">
      <alignment vertical="center"/>
    </xf>
    <xf numFmtId="0" fontId="5" fillId="2" borderId="0" xfId="1" applyFont="1" applyFill="1" applyBorder="1" applyAlignment="1">
      <alignment vertical="center"/>
    </xf>
    <xf numFmtId="0" fontId="1" fillId="2" borderId="1" xfId="0" applyFont="1" applyFill="1" applyBorder="1" applyAlignment="1">
      <alignment horizontal="center"/>
    </xf>
    <xf numFmtId="4" fontId="1" fillId="0" borderId="1" xfId="0" applyNumberFormat="1" applyFont="1" applyBorder="1"/>
    <xf numFmtId="0" fontId="0" fillId="0" borderId="1" xfId="0" applyFont="1" applyBorder="1" applyAlignment="1">
      <alignment horizontal="left" vertical="center" wrapText="1"/>
    </xf>
    <xf numFmtId="0" fontId="0" fillId="2" borderId="1" xfId="0" applyFont="1" applyFill="1" applyBorder="1" applyAlignment="1">
      <alignment horizontal="left" vertical="center"/>
    </xf>
    <xf numFmtId="165" fontId="1" fillId="0" borderId="1" xfId="0" applyNumberFormat="1" applyFont="1" applyBorder="1"/>
    <xf numFmtId="166" fontId="1" fillId="0" borderId="1" xfId="0" applyNumberFormat="1" applyFont="1" applyBorder="1"/>
    <xf numFmtId="166" fontId="1" fillId="3" borderId="1" xfId="0" applyNumberFormat="1" applyFont="1" applyFill="1" applyBorder="1"/>
    <xf numFmtId="165" fontId="1" fillId="3" borderId="1" xfId="0" applyNumberFormat="1" applyFont="1" applyFill="1" applyBorder="1"/>
    <xf numFmtId="0" fontId="0" fillId="0" borderId="0" xfId="0" quotePrefix="1"/>
    <xf numFmtId="0" fontId="7" fillId="0" borderId="1" xfId="0" applyFont="1" applyBorder="1" applyAlignment="1">
      <alignment horizontal="left" vertical="center" wrapText="1" indent="1"/>
    </xf>
    <xf numFmtId="167" fontId="7" fillId="3" borderId="1" xfId="0" applyNumberFormat="1" applyFont="1" applyFill="1" applyBorder="1" applyAlignment="1">
      <alignment horizontal="center"/>
    </xf>
    <xf numFmtId="167" fontId="7" fillId="0" borderId="1" xfId="0" applyNumberFormat="1" applyFont="1" applyBorder="1"/>
    <xf numFmtId="167" fontId="7" fillId="0" borderId="3" xfId="0" applyNumberFormat="1" applyFont="1" applyBorder="1"/>
    <xf numFmtId="165" fontId="1" fillId="4" borderId="1" xfId="0" applyNumberFormat="1" applyFont="1" applyFill="1" applyBorder="1"/>
    <xf numFmtId="168" fontId="2" fillId="0" borderId="8" xfId="0" applyNumberFormat="1" applyFont="1" applyBorder="1" applyAlignment="1">
      <alignment horizontal="center"/>
    </xf>
    <xf numFmtId="168" fontId="2" fillId="0" borderId="9" xfId="0" applyNumberFormat="1" applyFont="1" applyBorder="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xf>
    <xf numFmtId="0" fontId="0" fillId="0" borderId="10" xfId="0" applyFont="1" applyBorder="1"/>
    <xf numFmtId="0" fontId="0" fillId="0" borderId="7" xfId="0" applyFont="1" applyBorder="1"/>
    <xf numFmtId="168" fontId="0" fillId="0" borderId="16" xfId="0" applyNumberFormat="1" applyFont="1" applyBorder="1"/>
    <xf numFmtId="168" fontId="0" fillId="0" borderId="17" xfId="0" applyNumberFormat="1" applyFont="1" applyBorder="1"/>
    <xf numFmtId="168" fontId="0" fillId="3" borderId="11" xfId="0" applyNumberFormat="1" applyFont="1" applyFill="1" applyBorder="1"/>
    <xf numFmtId="168" fontId="0" fillId="3" borderId="12" xfId="0" applyNumberFormat="1" applyFont="1" applyFill="1" applyBorder="1"/>
    <xf numFmtId="0" fontId="2" fillId="0" borderId="19" xfId="0" applyFont="1" applyBorder="1"/>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7" fillId="0" borderId="0" xfId="0" applyFont="1"/>
    <xf numFmtId="0" fontId="8" fillId="2" borderId="1" xfId="0" applyFont="1" applyFill="1" applyBorder="1"/>
    <xf numFmtId="0" fontId="13" fillId="0" borderId="0" xfId="0" applyFont="1" applyFill="1" applyBorder="1" applyAlignment="1"/>
    <xf numFmtId="2" fontId="8" fillId="8" borderId="1" xfId="0" applyNumberFormat="1" applyFont="1" applyFill="1" applyBorder="1"/>
    <xf numFmtId="0" fontId="8" fillId="0" borderId="0" xfId="0" applyFont="1" applyFill="1" applyBorder="1" applyAlignment="1"/>
    <xf numFmtId="0" fontId="5" fillId="0" borderId="0" xfId="0" applyFont="1" applyFill="1" applyBorder="1"/>
    <xf numFmtId="0" fontId="5" fillId="2" borderId="1" xfId="0" applyFont="1" applyFill="1" applyBorder="1" applyAlignment="1">
      <alignment horizontal="center"/>
    </xf>
    <xf numFmtId="0" fontId="8" fillId="2" borderId="1" xfId="0" applyFont="1" applyFill="1" applyBorder="1" applyAlignment="1"/>
    <xf numFmtId="2" fontId="8" fillId="8" borderId="20" xfId="0" applyNumberFormat="1" applyFont="1" applyFill="1" applyBorder="1"/>
    <xf numFmtId="170" fontId="8" fillId="8" borderId="1" xfId="0" applyNumberFormat="1" applyFont="1" applyFill="1" applyBorder="1"/>
    <xf numFmtId="170" fontId="8" fillId="0" borderId="1" xfId="0" applyNumberFormat="1" applyFont="1" applyFill="1" applyBorder="1"/>
    <xf numFmtId="170" fontId="8" fillId="4" borderId="1" xfId="0" applyNumberFormat="1" applyFont="1" applyFill="1" applyBorder="1"/>
    <xf numFmtId="165" fontId="8" fillId="0" borderId="20" xfId="0" applyNumberFormat="1" applyFont="1" applyBorder="1"/>
    <xf numFmtId="2" fontId="8" fillId="0" borderId="1" xfId="0" applyNumberFormat="1" applyFont="1" applyFill="1" applyBorder="1"/>
    <xf numFmtId="2" fontId="8" fillId="9" borderId="1" xfId="0" applyNumberFormat="1" applyFont="1" applyFill="1" applyBorder="1"/>
    <xf numFmtId="0" fontId="8" fillId="0" borderId="0" xfId="0" applyFont="1" applyFill="1" applyBorder="1"/>
    <xf numFmtId="3" fontId="8" fillId="8" borderId="1" xfId="0" applyNumberFormat="1" applyFont="1" applyFill="1" applyBorder="1"/>
    <xf numFmtId="3" fontId="8" fillId="8" borderId="20" xfId="0" applyNumberFormat="1" applyFont="1" applyFill="1" applyBorder="1"/>
    <xf numFmtId="3" fontId="8" fillId="10" borderId="1" xfId="0" applyNumberFormat="1" applyFont="1" applyFill="1" applyBorder="1"/>
    <xf numFmtId="165" fontId="8" fillId="0" borderId="1" xfId="0" applyNumberFormat="1" applyFont="1" applyBorder="1"/>
    <xf numFmtId="165" fontId="8" fillId="4" borderId="1" xfId="0" applyNumberFormat="1" applyFont="1" applyFill="1" applyBorder="1"/>
    <xf numFmtId="0" fontId="0" fillId="0" borderId="24" xfId="0" applyBorder="1"/>
    <xf numFmtId="0" fontId="0" fillId="0" borderId="25" xfId="0" applyBorder="1"/>
    <xf numFmtId="0" fontId="0" fillId="0" borderId="26" xfId="0" applyBorder="1"/>
    <xf numFmtId="0" fontId="0" fillId="0" borderId="27" xfId="0" applyBorder="1"/>
    <xf numFmtId="2" fontId="8" fillId="8" borderId="22" xfId="0" applyNumberFormat="1" applyFont="1" applyFill="1" applyBorder="1"/>
    <xf numFmtId="2" fontId="8" fillId="9" borderId="23" xfId="0" applyNumberFormat="1" applyFont="1" applyFill="1" applyBorder="1"/>
    <xf numFmtId="170" fontId="8" fillId="4" borderId="23" xfId="0" applyNumberFormat="1" applyFont="1" applyFill="1" applyBorder="1"/>
    <xf numFmtId="165" fontId="8" fillId="0" borderId="28" xfId="0" applyNumberFormat="1" applyFont="1" applyBorder="1"/>
    <xf numFmtId="165" fontId="8" fillId="4" borderId="23" xfId="0" applyNumberFormat="1" applyFont="1" applyFill="1" applyBorder="1"/>
    <xf numFmtId="2" fontId="8" fillId="0" borderId="22" xfId="0" applyNumberFormat="1" applyFont="1" applyFill="1" applyBorder="1"/>
    <xf numFmtId="2" fontId="8" fillId="8" borderId="23" xfId="0" applyNumberFormat="1" applyFont="1" applyFill="1" applyBorder="1"/>
    <xf numFmtId="3" fontId="8" fillId="8" borderId="22" xfId="0" applyNumberFormat="1" applyFont="1" applyFill="1" applyBorder="1"/>
    <xf numFmtId="3" fontId="8" fillId="8" borderId="23" xfId="0" applyNumberFormat="1" applyFont="1" applyFill="1" applyBorder="1"/>
    <xf numFmtId="165" fontId="8" fillId="0" borderId="22" xfId="0" applyNumberFormat="1" applyFont="1" applyBorder="1"/>
    <xf numFmtId="165" fontId="8" fillId="0" borderId="23" xfId="0" applyNumberFormat="1" applyFont="1" applyBorder="1"/>
    <xf numFmtId="0" fontId="14" fillId="0" borderId="0" xfId="0" applyFont="1"/>
    <xf numFmtId="0" fontId="5" fillId="2" borderId="29" xfId="0" applyFont="1" applyFill="1" applyBorder="1"/>
    <xf numFmtId="0" fontId="8" fillId="2" borderId="29" xfId="0" applyFont="1" applyFill="1" applyBorder="1"/>
    <xf numFmtId="0" fontId="5" fillId="2" borderId="30" xfId="0" applyFont="1" applyFill="1" applyBorder="1"/>
    <xf numFmtId="0" fontId="16" fillId="0" borderId="0" xfId="0" applyFont="1" applyFill="1"/>
    <xf numFmtId="0" fontId="17" fillId="0" borderId="0" xfId="0" applyFont="1" applyFill="1"/>
    <xf numFmtId="0" fontId="8" fillId="0" borderId="29" xfId="0" applyFont="1" applyBorder="1"/>
    <xf numFmtId="0" fontId="8" fillId="0" borderId="1" xfId="0" applyFont="1" applyBorder="1"/>
    <xf numFmtId="2" fontId="8" fillId="0" borderId="0" xfId="0" applyNumberFormat="1" applyFont="1" applyFill="1" applyBorder="1"/>
    <xf numFmtId="169" fontId="8" fillId="0" borderId="1" xfId="0" applyNumberFormat="1" applyFont="1" applyBorder="1"/>
    <xf numFmtId="0" fontId="0" fillId="0" borderId="21" xfId="0" applyBorder="1"/>
    <xf numFmtId="0" fontId="0" fillId="0" borderId="31" xfId="0" applyBorder="1"/>
    <xf numFmtId="0" fontId="0" fillId="0" borderId="18" xfId="0" applyBorder="1"/>
    <xf numFmtId="0" fontId="8" fillId="0" borderId="0" xfId="0" quotePrefix="1" applyFont="1" applyBorder="1"/>
    <xf numFmtId="169" fontId="8" fillId="3" borderId="1" xfId="0" applyNumberFormat="1" applyFont="1" applyFill="1" applyBorder="1"/>
    <xf numFmtId="0" fontId="0" fillId="0" borderId="27" xfId="0" quotePrefix="1" applyBorder="1"/>
    <xf numFmtId="169" fontId="8" fillId="0" borderId="22" xfId="0" applyNumberFormat="1" applyFont="1" applyBorder="1"/>
    <xf numFmtId="169" fontId="8" fillId="0" borderId="23" xfId="0" applyNumberFormat="1" applyFont="1" applyBorder="1"/>
    <xf numFmtId="169" fontId="8" fillId="3" borderId="23" xfId="0" applyNumberFormat="1" applyFont="1" applyFill="1" applyBorder="1"/>
    <xf numFmtId="4" fontId="1" fillId="3" borderId="1" xfId="0" applyNumberFormat="1" applyFont="1" applyFill="1" applyBorder="1"/>
    <xf numFmtId="0" fontId="0" fillId="0" borderId="0" xfId="0" applyFont="1"/>
    <xf numFmtId="4" fontId="1" fillId="0" borderId="22" xfId="0" applyNumberFormat="1" applyFont="1" applyBorder="1"/>
    <xf numFmtId="165" fontId="1" fillId="0" borderId="3" xfId="0" applyNumberFormat="1" applyFont="1" applyBorder="1"/>
    <xf numFmtId="171" fontId="0" fillId="0" borderId="11" xfId="0" applyNumberFormat="1" applyFont="1" applyBorder="1"/>
    <xf numFmtId="171" fontId="0" fillId="0" borderId="12" xfId="0" applyNumberFormat="1" applyFont="1" applyBorder="1"/>
    <xf numFmtId="171" fontId="0" fillId="0" borderId="1" xfId="0" applyNumberFormat="1" applyFont="1" applyBorder="1"/>
    <xf numFmtId="171" fontId="0" fillId="0" borderId="14" xfId="0" applyNumberFormat="1" applyFont="1" applyBorder="1"/>
    <xf numFmtId="171" fontId="0" fillId="0" borderId="14" xfId="0" applyNumberFormat="1" applyFont="1" applyFill="1" applyBorder="1"/>
    <xf numFmtId="0" fontId="0" fillId="0" borderId="13" xfId="0" applyFont="1" applyFill="1" applyBorder="1" applyAlignment="1">
      <alignment horizontal="center" vertical="center" wrapText="1"/>
    </xf>
    <xf numFmtId="171" fontId="0" fillId="0" borderId="1" xfId="0" applyNumberFormat="1" applyFont="1" applyFill="1" applyBorder="1"/>
    <xf numFmtId="169" fontId="8" fillId="0" borderId="3" xfId="0" applyNumberFormat="1" applyFont="1" applyBorder="1"/>
    <xf numFmtId="3" fontId="0" fillId="0" borderId="0" xfId="0" applyNumberFormat="1"/>
    <xf numFmtId="0" fontId="8" fillId="2" borderId="0" xfId="1" applyFont="1" applyFill="1" applyBorder="1"/>
    <xf numFmtId="2" fontId="8" fillId="11" borderId="1" xfId="0" applyNumberFormat="1" applyFont="1" applyFill="1" applyBorder="1"/>
    <xf numFmtId="169" fontId="8" fillId="12" borderId="3" xfId="0" applyNumberFormat="1" applyFont="1" applyFill="1" applyBorder="1"/>
    <xf numFmtId="166" fontId="1" fillId="1" borderId="1" xfId="0" applyNumberFormat="1" applyFont="1" applyFill="1" applyBorder="1"/>
    <xf numFmtId="165" fontId="8" fillId="0" borderId="3" xfId="0" applyNumberFormat="1" applyFont="1" applyBorder="1"/>
    <xf numFmtId="170" fontId="8" fillId="11" borderId="1" xfId="0" applyNumberFormat="1" applyFont="1" applyFill="1" applyBorder="1"/>
    <xf numFmtId="165" fontId="8" fillId="1" borderId="20" xfId="0" applyNumberFormat="1" applyFont="1" applyFill="1" applyBorder="1"/>
    <xf numFmtId="2" fontId="8" fillId="0" borderId="3" xfId="0" applyNumberFormat="1" applyFont="1" applyFill="1" applyBorder="1"/>
    <xf numFmtId="2" fontId="8" fillId="1" borderId="1" xfId="0" applyNumberFormat="1" applyFont="1" applyFill="1" applyBorder="1"/>
    <xf numFmtId="2" fontId="8" fillId="12" borderId="3" xfId="0" applyNumberFormat="1" applyFont="1" applyFill="1" applyBorder="1"/>
    <xf numFmtId="3" fontId="8" fillId="8" borderId="3" xfId="0" applyNumberFormat="1" applyFont="1" applyFill="1" applyBorder="1"/>
    <xf numFmtId="0" fontId="8" fillId="0" borderId="3" xfId="0" applyFont="1" applyBorder="1"/>
    <xf numFmtId="169" fontId="8" fillId="0" borderId="0" xfId="0" applyNumberFormat="1" applyFont="1" applyBorder="1"/>
    <xf numFmtId="169" fontId="8" fillId="0" borderId="26" xfId="0" applyNumberFormat="1" applyFont="1" applyBorder="1"/>
    <xf numFmtId="169" fontId="8" fillId="0" borderId="27" xfId="0" applyNumberFormat="1" applyFont="1" applyBorder="1"/>
    <xf numFmtId="166" fontId="1" fillId="0" borderId="1" xfId="0" applyNumberFormat="1" applyFont="1" applyFill="1" applyBorder="1"/>
    <xf numFmtId="0" fontId="8" fillId="2" borderId="1" xfId="0" applyFont="1" applyFill="1" applyBorder="1" applyAlignment="1">
      <alignment wrapText="1"/>
    </xf>
    <xf numFmtId="4" fontId="1" fillId="0" borderId="20" xfId="0" applyNumberFormat="1" applyFont="1" applyBorder="1"/>
    <xf numFmtId="4" fontId="1" fillId="0" borderId="2" xfId="0" applyNumberFormat="1" applyFont="1" applyBorder="1"/>
    <xf numFmtId="4" fontId="1" fillId="0" borderId="33" xfId="0" applyNumberFormat="1" applyFont="1" applyBorder="1"/>
    <xf numFmtId="171" fontId="0" fillId="0" borderId="9" xfId="0" applyNumberFormat="1" applyFont="1" applyFill="1" applyBorder="1"/>
    <xf numFmtId="0" fontId="2" fillId="0" borderId="4" xfId="0" applyFont="1" applyBorder="1"/>
    <xf numFmtId="0" fontId="2" fillId="0" borderId="6" xfId="0" applyFont="1" applyBorder="1"/>
    <xf numFmtId="0" fontId="2" fillId="0" borderId="5" xfId="0" applyFont="1" applyBorder="1"/>
    <xf numFmtId="171" fontId="0" fillId="0" borderId="8" xfId="0" applyNumberFormat="1" applyFont="1" applyFill="1" applyBorder="1"/>
    <xf numFmtId="172" fontId="0" fillId="0" borderId="0" xfId="0" applyNumberFormat="1"/>
    <xf numFmtId="165" fontId="0" fillId="0" borderId="1" xfId="0" applyNumberFormat="1" applyFont="1" applyFill="1" applyBorder="1"/>
    <xf numFmtId="165" fontId="1" fillId="0" borderId="1" xfId="0" applyNumberFormat="1" applyFont="1" applyFill="1" applyBorder="1"/>
    <xf numFmtId="0" fontId="0" fillId="0" borderId="0" xfId="0" applyAlignment="1">
      <alignment wrapText="1"/>
    </xf>
    <xf numFmtId="0" fontId="2" fillId="2" borderId="0" xfId="0" applyFont="1" applyFill="1"/>
    <xf numFmtId="0" fontId="2" fillId="0" borderId="0" xfId="0" applyFont="1" applyAlignment="1"/>
    <xf numFmtId="4" fontId="0" fillId="0" borderId="0" xfId="0" applyNumberFormat="1"/>
    <xf numFmtId="170" fontId="0" fillId="0" borderId="0" xfId="0" applyNumberFormat="1"/>
    <xf numFmtId="0" fontId="2" fillId="0" borderId="0" xfId="0" applyFont="1" applyAlignment="1">
      <alignment wrapText="1"/>
    </xf>
    <xf numFmtId="0" fontId="0" fillId="0" borderId="18" xfId="0" applyBorder="1" applyAlignment="1">
      <alignment wrapText="1"/>
    </xf>
    <xf numFmtId="0" fontId="0" fillId="0" borderId="15" xfId="0" applyBorder="1"/>
    <xf numFmtId="0" fontId="0" fillId="0" borderId="34" xfId="0" applyBorder="1"/>
    <xf numFmtId="0" fontId="0" fillId="0" borderId="34" xfId="0" applyBorder="1" applyAlignment="1">
      <alignment wrapText="1"/>
    </xf>
    <xf numFmtId="4" fontId="0" fillId="0" borderId="18" xfId="0" applyNumberFormat="1" applyBorder="1"/>
    <xf numFmtId="3" fontId="0" fillId="0" borderId="18" xfId="0" applyNumberFormat="1" applyBorder="1"/>
    <xf numFmtId="170" fontId="0" fillId="0" borderId="18" xfId="0" applyNumberFormat="1" applyBorder="1"/>
    <xf numFmtId="0" fontId="0" fillId="0" borderId="0" xfId="0" applyAlignment="1">
      <alignment horizontal="left" indent="1"/>
    </xf>
    <xf numFmtId="0" fontId="7" fillId="0" borderId="0" xfId="0" applyFont="1" applyFill="1" applyBorder="1" applyAlignment="1"/>
    <xf numFmtId="170" fontId="0" fillId="0" borderId="0" xfId="0" applyNumberFormat="1" applyFill="1"/>
    <xf numFmtId="165" fontId="0" fillId="0" borderId="0" xfId="0" applyNumberFormat="1"/>
    <xf numFmtId="165" fontId="0" fillId="0" borderId="18" xfId="0" applyNumberFormat="1" applyBorder="1"/>
    <xf numFmtId="0" fontId="0" fillId="0" borderId="0" xfId="0" applyFill="1" applyBorder="1"/>
    <xf numFmtId="0" fontId="0" fillId="2" borderId="1" xfId="0" applyFont="1" applyFill="1" applyBorder="1" applyAlignment="1">
      <alignment horizontal="left" vertical="center" wrapText="1"/>
    </xf>
    <xf numFmtId="4" fontId="0" fillId="0" borderId="3" xfId="0" applyNumberFormat="1" applyBorder="1"/>
    <xf numFmtId="170" fontId="0" fillId="0" borderId="3" xfId="0" applyNumberFormat="1" applyBorder="1"/>
    <xf numFmtId="165" fontId="0" fillId="0" borderId="3" xfId="0" applyNumberFormat="1" applyBorder="1"/>
    <xf numFmtId="165" fontId="0" fillId="0" borderId="2" xfId="0" applyNumberFormat="1" applyFont="1" applyFill="1" applyBorder="1"/>
    <xf numFmtId="165" fontId="1" fillId="3" borderId="2" xfId="0" applyNumberFormat="1" applyFont="1" applyFill="1" applyBorder="1"/>
    <xf numFmtId="0" fontId="0" fillId="0" borderId="1" xfId="0" applyBorder="1"/>
    <xf numFmtId="0" fontId="0" fillId="2" borderId="34" xfId="0" applyFill="1" applyBorder="1" applyAlignment="1">
      <alignment wrapText="1"/>
    </xf>
    <xf numFmtId="0" fontId="0" fillId="2" borderId="34" xfId="0" applyFill="1" applyBorder="1"/>
    <xf numFmtId="0" fontId="0" fillId="0" borderId="0" xfId="0"/>
    <xf numFmtId="0" fontId="0" fillId="0" borderId="0" xfId="0" applyAlignment="1">
      <alignment wrapText="1"/>
    </xf>
    <xf numFmtId="0" fontId="0" fillId="0" borderId="18" xfId="0" applyBorder="1" applyAlignment="1">
      <alignment wrapText="1"/>
    </xf>
    <xf numFmtId="0" fontId="0" fillId="0" borderId="34" xfId="0" applyBorder="1" applyAlignment="1">
      <alignment wrapText="1"/>
    </xf>
    <xf numFmtId="0" fontId="0" fillId="0" borderId="0" xfId="0" applyBorder="1"/>
    <xf numFmtId="4" fontId="0" fillId="0" borderId="0" xfId="0" applyNumberFormat="1" applyBorder="1"/>
    <xf numFmtId="3" fontId="0" fillId="0" borderId="0" xfId="0" applyNumberFormat="1" applyBorder="1"/>
    <xf numFmtId="170" fontId="0" fillId="0" borderId="0" xfId="0" applyNumberFormat="1" applyBorder="1"/>
    <xf numFmtId="4" fontId="0" fillId="0" borderId="0" xfId="0" applyNumberFormat="1" applyFill="1" applyBorder="1"/>
    <xf numFmtId="3" fontId="0" fillId="0" borderId="0" xfId="0" applyNumberFormat="1" applyFill="1" applyBorder="1"/>
    <xf numFmtId="165" fontId="0" fillId="0" borderId="0" xfId="0" applyNumberFormat="1" applyBorder="1"/>
    <xf numFmtId="165" fontId="0" fillId="0" borderId="0" xfId="0" applyNumberFormat="1" applyFill="1" applyBorder="1"/>
    <xf numFmtId="170" fontId="0" fillId="0" borderId="0" xfId="0" applyNumberFormat="1" applyFill="1" applyBorder="1"/>
    <xf numFmtId="0" fontId="2" fillId="0" borderId="2" xfId="0" applyFont="1" applyBorder="1"/>
    <xf numFmtId="0" fontId="2" fillId="0" borderId="15" xfId="0" applyFont="1" applyBorder="1"/>
    <xf numFmtId="0" fontId="0" fillId="0" borderId="2" xfId="0" applyBorder="1"/>
    <xf numFmtId="0" fontId="2" fillId="0" borderId="2" xfId="0" applyFont="1" applyFill="1" applyBorder="1"/>
    <xf numFmtId="0" fontId="2" fillId="0" borderId="15" xfId="0" applyFont="1" applyFill="1" applyBorder="1"/>
    <xf numFmtId="174" fontId="0" fillId="0" borderId="20" xfId="0" applyNumberFormat="1" applyBorder="1"/>
    <xf numFmtId="174" fontId="2" fillId="0" borderId="20" xfId="0" applyNumberFormat="1" applyFont="1" applyBorder="1"/>
    <xf numFmtId="175" fontId="0" fillId="0" borderId="2" xfId="0" applyNumberFormat="1" applyBorder="1"/>
    <xf numFmtId="175" fontId="2" fillId="0" borderId="2" xfId="0" applyNumberFormat="1" applyFont="1" applyBorder="1"/>
    <xf numFmtId="174" fontId="27" fillId="0" borderId="1" xfId="0" applyNumberFormat="1" applyFont="1" applyBorder="1"/>
    <xf numFmtId="174" fontId="28" fillId="0" borderId="1" xfId="0" applyNumberFormat="1" applyFont="1" applyBorder="1"/>
    <xf numFmtId="0" fontId="28" fillId="0" borderId="1" xfId="0" applyFont="1" applyFill="1" applyBorder="1" applyAlignment="1">
      <alignment horizontal="right" wrapText="1"/>
    </xf>
    <xf numFmtId="0" fontId="0" fillId="0" borderId="2" xfId="0" applyBorder="1" applyAlignment="1">
      <alignment horizontal="left" indent="1"/>
    </xf>
    <xf numFmtId="0" fontId="2" fillId="0" borderId="0" xfId="0" applyFont="1" applyFill="1" applyBorder="1"/>
    <xf numFmtId="0" fontId="2" fillId="0" borderId="1" xfId="0" applyFont="1" applyFill="1" applyBorder="1" applyAlignment="1">
      <alignment horizontal="right"/>
    </xf>
    <xf numFmtId="0" fontId="2" fillId="0" borderId="1" xfId="0" applyFont="1" applyFill="1" applyBorder="1"/>
    <xf numFmtId="10" fontId="0" fillId="0" borderId="1" xfId="0" applyNumberFormat="1" applyBorder="1"/>
    <xf numFmtId="10" fontId="0" fillId="3" borderId="1" xfId="0" applyNumberFormat="1" applyFill="1" applyBorder="1"/>
    <xf numFmtId="10" fontId="0" fillId="3" borderId="2" xfId="0" applyNumberFormat="1" applyFill="1" applyBorder="1"/>
    <xf numFmtId="10" fontId="0" fillId="0" borderId="33" xfId="0" applyNumberFormat="1" applyBorder="1"/>
    <xf numFmtId="10" fontId="0" fillId="0" borderId="20" xfId="0" applyNumberFormat="1" applyBorder="1"/>
    <xf numFmtId="0" fontId="27" fillId="0" borderId="0" xfId="0" applyFont="1"/>
    <xf numFmtId="173" fontId="27" fillId="0" borderId="0" xfId="0" applyNumberFormat="1" applyFont="1" applyAlignment="1">
      <alignment horizontal="right"/>
    </xf>
    <xf numFmtId="0" fontId="0" fillId="0" borderId="0" xfId="0" applyFill="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34" xfId="0" applyFill="1" applyBorder="1" applyAlignment="1">
      <alignment wrapText="1"/>
    </xf>
    <xf numFmtId="4" fontId="0" fillId="0" borderId="1" xfId="0" applyNumberFormat="1" applyFont="1" applyFill="1" applyBorder="1"/>
    <xf numFmtId="0" fontId="0" fillId="2" borderId="1" xfId="0" applyFont="1" applyFill="1" applyBorder="1" applyAlignment="1">
      <alignment horizontal="center"/>
    </xf>
    <xf numFmtId="0" fontId="0" fillId="2" borderId="2" xfId="0" applyFont="1" applyFill="1" applyBorder="1" applyAlignment="1">
      <alignment horizontal="left" vertical="center"/>
    </xf>
    <xf numFmtId="165" fontId="1" fillId="0" borderId="22" xfId="0" applyNumberFormat="1" applyFont="1" applyBorder="1"/>
    <xf numFmtId="165" fontId="0" fillId="0" borderId="1" xfId="0" applyNumberFormat="1" applyFont="1" applyFill="1" applyBorder="1" applyAlignment="1">
      <alignment wrapText="1"/>
    </xf>
    <xf numFmtId="0" fontId="2" fillId="0" borderId="0" xfId="0" applyFont="1" applyFill="1"/>
    <xf numFmtId="165" fontId="1" fillId="0" borderId="23" xfId="0" applyNumberFormat="1" applyFont="1" applyBorder="1"/>
    <xf numFmtId="0" fontId="13" fillId="0" borderId="0" xfId="0" applyFont="1"/>
    <xf numFmtId="168" fontId="2" fillId="0" borderId="9" xfId="0" applyNumberFormat="1" applyFont="1" applyBorder="1" applyAlignment="1">
      <alignment horizontal="center" wrapText="1"/>
    </xf>
    <xf numFmtId="176" fontId="0" fillId="3" borderId="11" xfId="0" applyNumberFormat="1" applyFont="1" applyFill="1" applyBorder="1"/>
    <xf numFmtId="176" fontId="0" fillId="3" borderId="12" xfId="0" applyNumberFormat="1" applyFont="1" applyFill="1" applyBorder="1"/>
    <xf numFmtId="0" fontId="0" fillId="0" borderId="7" xfId="0" applyFont="1" applyBorder="1" applyAlignment="1">
      <alignment horizontal="center" vertical="center"/>
    </xf>
    <xf numFmtId="0" fontId="0" fillId="0" borderId="0" xfId="0" applyAlignment="1">
      <alignment wrapText="1"/>
    </xf>
    <xf numFmtId="0" fontId="0" fillId="0" borderId="0" xfId="0"/>
    <xf numFmtId="0" fontId="0" fillId="0" borderId="34" xfId="0" applyBorder="1" applyAlignment="1">
      <alignment wrapText="1"/>
    </xf>
    <xf numFmtId="0" fontId="0" fillId="0" borderId="0" xfId="0"/>
    <xf numFmtId="0" fontId="0" fillId="0" borderId="34" xfId="0" applyFill="1" applyBorder="1" applyAlignment="1">
      <alignment wrapText="1"/>
    </xf>
    <xf numFmtId="177" fontId="7" fillId="0" borderId="0" xfId="0" applyNumberFormat="1" applyFont="1" applyFill="1" applyBorder="1"/>
    <xf numFmtId="10" fontId="0" fillId="0" borderId="29" xfId="0" applyNumberFormat="1" applyBorder="1"/>
    <xf numFmtId="10" fontId="27" fillId="3" borderId="1" xfId="0" applyNumberFormat="1" applyFont="1" applyFill="1" applyBorder="1"/>
    <xf numFmtId="10" fontId="27" fillId="3" borderId="2" xfId="0" applyNumberFormat="1" applyFont="1" applyFill="1" applyBorder="1"/>
    <xf numFmtId="10" fontId="27" fillId="0" borderId="33" xfId="0" applyNumberFormat="1" applyFont="1" applyBorder="1"/>
    <xf numFmtId="10" fontId="27" fillId="0" borderId="20" xfId="0" applyNumberFormat="1" applyFont="1" applyBorder="1"/>
    <xf numFmtId="10" fontId="27" fillId="0" borderId="1" xfId="0" applyNumberFormat="1" applyFont="1" applyBorder="1"/>
    <xf numFmtId="0" fontId="27" fillId="0" borderId="2" xfId="0" applyFont="1" applyBorder="1" applyAlignment="1">
      <alignment horizontal="left" indent="1"/>
    </xf>
    <xf numFmtId="10" fontId="0" fillId="0" borderId="0" xfId="0" applyNumberFormat="1"/>
    <xf numFmtId="0" fontId="0" fillId="0" borderId="0" xfId="0"/>
    <xf numFmtId="0" fontId="27" fillId="0" borderId="21" xfId="0" applyFont="1" applyBorder="1"/>
    <xf numFmtId="10" fontId="27" fillId="0" borderId="29" xfId="0" applyNumberFormat="1" applyFont="1" applyBorder="1"/>
    <xf numFmtId="10" fontId="27" fillId="0" borderId="33" xfId="0" applyNumberFormat="1" applyFont="1" applyFill="1" applyBorder="1"/>
    <xf numFmtId="10" fontId="1" fillId="0" borderId="1" xfId="0" applyNumberFormat="1" applyFont="1" applyBorder="1"/>
    <xf numFmtId="0" fontId="0" fillId="3" borderId="1" xfId="0" applyFont="1" applyFill="1" applyBorder="1" applyAlignment="1">
      <alignment horizontal="left" vertical="center" indent="1"/>
    </xf>
    <xf numFmtId="0" fontId="0" fillId="0" borderId="0" xfId="0"/>
    <xf numFmtId="165" fontId="7" fillId="0" borderId="1" xfId="0" applyNumberFormat="1" applyFont="1" applyBorder="1" applyAlignment="1">
      <alignment vertical="center"/>
    </xf>
    <xf numFmtId="0" fontId="0" fillId="0" borderId="0" xfId="0"/>
    <xf numFmtId="0" fontId="0" fillId="0" borderId="0" xfId="0"/>
    <xf numFmtId="0" fontId="0" fillId="0" borderId="38" xfId="0" applyFont="1" applyBorder="1" applyAlignment="1">
      <alignment horizontal="center" vertical="center" wrapText="1"/>
    </xf>
    <xf numFmtId="171" fontId="0" fillId="0" borderId="39" xfId="0" applyNumberFormat="1" applyFont="1" applyBorder="1"/>
    <xf numFmtId="171" fontId="0" fillId="0" borderId="40" xfId="0" applyNumberFormat="1" applyFont="1" applyBorder="1"/>
    <xf numFmtId="171" fontId="0" fillId="0" borderId="8" xfId="0" applyNumberFormat="1" applyFont="1" applyBorder="1"/>
    <xf numFmtId="0" fontId="1" fillId="2" borderId="1" xfId="0" applyFont="1" applyFill="1" applyBorder="1" applyAlignment="1">
      <alignment horizontal="lef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165" fontId="0" fillId="3" borderId="1" xfId="0" applyNumberFormat="1" applyFont="1" applyFill="1" applyBorder="1"/>
    <xf numFmtId="2" fontId="29" fillId="0" borderId="43" xfId="1" applyNumberFormat="1" applyFont="1" applyFill="1" applyBorder="1" applyAlignment="1">
      <alignment horizontal="left" vertical="center" indent="1"/>
    </xf>
    <xf numFmtId="165" fontId="27" fillId="3" borderId="43" xfId="0" applyNumberFormat="1" applyFont="1" applyFill="1" applyBorder="1"/>
    <xf numFmtId="2" fontId="13" fillId="0" borderId="0" xfId="1" applyNumberFormat="1" applyFont="1" applyFill="1" applyBorder="1" applyAlignment="1">
      <alignment horizontal="left" vertical="center"/>
    </xf>
    <xf numFmtId="168" fontId="7" fillId="0" borderId="1" xfId="0" applyNumberFormat="1" applyFont="1" applyBorder="1" applyAlignment="1">
      <alignment vertical="center"/>
    </xf>
    <xf numFmtId="0" fontId="8" fillId="0" borderId="1" xfId="0" applyFont="1" applyFill="1" applyBorder="1" applyAlignment="1">
      <alignment wrapText="1"/>
    </xf>
    <xf numFmtId="171" fontId="27" fillId="0" borderId="47" xfId="0" applyNumberFormat="1" applyFont="1" applyFill="1" applyBorder="1"/>
    <xf numFmtId="171" fontId="27" fillId="0" borderId="48" xfId="0" applyNumberFormat="1" applyFont="1" applyFill="1" applyBorder="1"/>
    <xf numFmtId="0" fontId="0" fillId="0" borderId="10" xfId="0" applyFont="1" applyFill="1" applyBorder="1" applyAlignment="1">
      <alignment horizontal="center" vertical="center" wrapText="1"/>
    </xf>
    <xf numFmtId="171" fontId="0" fillId="0" borderId="11" xfId="0" applyNumberFormat="1" applyFont="1" applyFill="1" applyBorder="1"/>
    <xf numFmtId="171" fontId="0" fillId="0" borderId="12" xfId="0" applyNumberFormat="1" applyFont="1" applyFill="1" applyBorder="1"/>
    <xf numFmtId="2" fontId="8" fillId="0" borderId="29" xfId="1" applyNumberFormat="1" applyFont="1" applyFill="1" applyBorder="1" applyAlignment="1">
      <alignment horizontal="left" vertical="center"/>
    </xf>
    <xf numFmtId="165" fontId="0" fillId="3" borderId="29" xfId="0" applyNumberFormat="1" applyFont="1" applyFill="1" applyBorder="1"/>
    <xf numFmtId="165" fontId="1" fillId="3" borderId="29" xfId="0" applyNumberFormat="1" applyFont="1" applyFill="1" applyBorder="1"/>
    <xf numFmtId="2" fontId="29" fillId="0" borderId="30" xfId="1" applyNumberFormat="1" applyFont="1" applyFill="1" applyBorder="1" applyAlignment="1">
      <alignment horizontal="left" vertical="center" indent="1"/>
    </xf>
    <xf numFmtId="165" fontId="27" fillId="3" borderId="30" xfId="0" applyNumberFormat="1" applyFont="1" applyFill="1" applyBorder="1"/>
    <xf numFmtId="2" fontId="29" fillId="0" borderId="49" xfId="1" applyNumberFormat="1" applyFont="1" applyFill="1" applyBorder="1" applyAlignment="1">
      <alignment horizontal="left" vertical="center" indent="1"/>
    </xf>
    <xf numFmtId="165" fontId="27" fillId="3" borderId="49" xfId="0" applyNumberFormat="1"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applyAlignment="1">
      <alignment horizontal="center"/>
    </xf>
    <xf numFmtId="168" fontId="2" fillId="0" borderId="8" xfId="0" applyNumberFormat="1" applyFont="1" applyFill="1" applyBorder="1" applyAlignment="1">
      <alignment horizontal="center"/>
    </xf>
    <xf numFmtId="168" fontId="2" fillId="0" borderId="9" xfId="0" applyNumberFormat="1" applyFont="1" applyFill="1" applyBorder="1" applyAlignment="1">
      <alignment horizontal="center"/>
    </xf>
    <xf numFmtId="0" fontId="27" fillId="0" borderId="44" xfId="0" applyFont="1" applyFill="1" applyBorder="1" applyAlignment="1">
      <alignment horizontal="center" vertical="center" wrapText="1"/>
    </xf>
    <xf numFmtId="171" fontId="27" fillId="0" borderId="41" xfId="0" applyNumberFormat="1" applyFont="1" applyFill="1" applyBorder="1"/>
    <xf numFmtId="171" fontId="27" fillId="0" borderId="45" xfId="0" applyNumberFormat="1" applyFont="1" applyFill="1" applyBorder="1"/>
    <xf numFmtId="0" fontId="27" fillId="0" borderId="46" xfId="0" applyFont="1" applyFill="1" applyBorder="1" applyAlignment="1">
      <alignment horizontal="center" vertical="center" wrapText="1"/>
    </xf>
    <xf numFmtId="0" fontId="13" fillId="0" borderId="0" xfId="0" applyFont="1" applyFill="1"/>
    <xf numFmtId="0" fontId="2" fillId="0" borderId="19" xfId="0" applyFont="1" applyFill="1" applyBorder="1"/>
    <xf numFmtId="168" fontId="2" fillId="0" borderId="16" xfId="0" applyNumberFormat="1" applyFont="1" applyFill="1" applyBorder="1" applyAlignment="1">
      <alignment horizontal="center"/>
    </xf>
    <xf numFmtId="168" fontId="2" fillId="0" borderId="17" xfId="0" applyNumberFormat="1" applyFont="1" applyFill="1" applyBorder="1" applyAlignment="1">
      <alignment horizontal="center"/>
    </xf>
    <xf numFmtId="0" fontId="0" fillId="0" borderId="10" xfId="0" applyFont="1" applyFill="1" applyBorder="1"/>
    <xf numFmtId="0" fontId="0" fillId="0" borderId="7" xfId="0" applyFont="1" applyFill="1" applyBorder="1"/>
    <xf numFmtId="168" fontId="0" fillId="0" borderId="16" xfId="0" applyNumberFormat="1" applyFont="1" applyFill="1" applyBorder="1"/>
    <xf numFmtId="168" fontId="0" fillId="0" borderId="17" xfId="0" applyNumberFormat="1" applyFont="1" applyFill="1" applyBorder="1"/>
    <xf numFmtId="0" fontId="0" fillId="2" borderId="29" xfId="0" applyFont="1" applyFill="1" applyBorder="1" applyAlignment="1">
      <alignment horizontal="center" vertical="center"/>
    </xf>
    <xf numFmtId="0" fontId="0" fillId="2" borderId="11" xfId="0" applyFont="1" applyFill="1" applyBorder="1" applyAlignment="1">
      <alignment horizontal="center" vertical="center"/>
    </xf>
    <xf numFmtId="4" fontId="30" fillId="0" borderId="1" xfId="0" applyNumberFormat="1" applyFont="1" applyFill="1" applyBorder="1"/>
    <xf numFmtId="4" fontId="30" fillId="3" borderId="1" xfId="0" applyNumberFormat="1" applyFont="1" applyFill="1" applyBorder="1"/>
    <xf numFmtId="0" fontId="0" fillId="2" borderId="1" xfId="0" applyFont="1" applyFill="1" applyBorder="1"/>
    <xf numFmtId="0" fontId="1" fillId="2" borderId="1" xfId="0" applyFont="1" applyFill="1" applyBorder="1" applyAlignment="1">
      <alignment horizontal="left" vertical="top" wrapText="1"/>
    </xf>
    <xf numFmtId="4" fontId="30" fillId="0" borderId="22" xfId="0" applyNumberFormat="1" applyFont="1" applyFill="1" applyBorder="1"/>
    <xf numFmtId="4" fontId="30" fillId="0" borderId="23" xfId="0" applyNumberFormat="1" applyFont="1" applyFill="1" applyBorder="1"/>
    <xf numFmtId="0" fontId="1" fillId="2" borderId="1" xfId="0" applyFont="1" applyFill="1" applyBorder="1"/>
    <xf numFmtId="0" fontId="0" fillId="2" borderId="41" xfId="0" applyFont="1" applyFill="1" applyBorder="1"/>
    <xf numFmtId="0" fontId="1" fillId="2" borderId="41" xfId="0" applyFont="1" applyFill="1" applyBorder="1" applyAlignment="1">
      <alignment horizontal="left" vertical="top" wrapText="1"/>
    </xf>
    <xf numFmtId="4" fontId="30" fillId="3" borderId="41" xfId="0" applyNumberFormat="1" applyFont="1" applyFill="1" applyBorder="1"/>
    <xf numFmtId="4" fontId="30" fillId="0" borderId="52" xfId="0" applyNumberFormat="1" applyFont="1" applyFill="1" applyBorder="1"/>
    <xf numFmtId="4" fontId="30" fillId="0" borderId="53" xfId="0" applyNumberFormat="1" applyFont="1" applyFill="1" applyBorder="1"/>
    <xf numFmtId="4" fontId="30" fillId="0" borderId="41" xfId="0" applyNumberFormat="1" applyFont="1" applyFill="1" applyBorder="1"/>
    <xf numFmtId="0" fontId="0" fillId="2" borderId="43" xfId="0" applyFont="1" applyFill="1" applyBorder="1"/>
    <xf numFmtId="0" fontId="1" fillId="2" borderId="43" xfId="0" applyFont="1" applyFill="1" applyBorder="1" applyAlignment="1">
      <alignment horizontal="left" vertical="top" wrapText="1"/>
    </xf>
    <xf numFmtId="4" fontId="30" fillId="3" borderId="43" xfId="0" applyNumberFormat="1" applyFont="1" applyFill="1" applyBorder="1"/>
    <xf numFmtId="4" fontId="30" fillId="0" borderId="54" xfId="0" applyNumberFormat="1" applyFont="1" applyFill="1" applyBorder="1"/>
    <xf numFmtId="4" fontId="30" fillId="0" borderId="55" xfId="0" applyNumberFormat="1" applyFont="1" applyFill="1" applyBorder="1"/>
    <xf numFmtId="4" fontId="30" fillId="0" borderId="43" xfId="0" applyNumberFormat="1" applyFont="1" applyFill="1" applyBorder="1"/>
    <xf numFmtId="0" fontId="0" fillId="2" borderId="30"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58" xfId="0" applyFont="1" applyFill="1" applyBorder="1" applyAlignment="1">
      <alignment horizontal="center" vertical="center" shrinkToFit="1"/>
    </xf>
    <xf numFmtId="0" fontId="0" fillId="2" borderId="60"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0" borderId="50" xfId="0" applyFont="1" applyFill="1" applyBorder="1"/>
    <xf numFmtId="170" fontId="30" fillId="0" borderId="29" xfId="0" applyNumberFormat="1" applyFont="1" applyFill="1" applyBorder="1"/>
    <xf numFmtId="170" fontId="30" fillId="0" borderId="61" xfId="0" applyNumberFormat="1" applyFont="1" applyFill="1" applyBorder="1"/>
    <xf numFmtId="170" fontId="30" fillId="0" borderId="62" xfId="0" applyNumberFormat="1" applyFont="1" applyFill="1" applyBorder="1"/>
    <xf numFmtId="3" fontId="30" fillId="0" borderId="61" xfId="0" applyNumberFormat="1" applyFont="1" applyFill="1" applyBorder="1"/>
    <xf numFmtId="3" fontId="30" fillId="0" borderId="63" xfId="0" applyNumberFormat="1" applyFont="1" applyFill="1" applyBorder="1"/>
    <xf numFmtId="3" fontId="30" fillId="0" borderId="62" xfId="0" applyNumberFormat="1" applyFont="1" applyFill="1" applyBorder="1"/>
    <xf numFmtId="0" fontId="0" fillId="0" borderId="64" xfId="0" applyFont="1" applyFill="1" applyBorder="1"/>
    <xf numFmtId="170" fontId="30" fillId="0" borderId="11" xfId="0" applyNumberFormat="1" applyFont="1" applyFill="1" applyBorder="1"/>
    <xf numFmtId="170" fontId="30" fillId="0" borderId="58" xfId="0" applyNumberFormat="1" applyFont="1" applyFill="1" applyBorder="1"/>
    <xf numFmtId="170" fontId="30" fillId="0" borderId="59" xfId="0" applyNumberFormat="1" applyFont="1" applyFill="1" applyBorder="1"/>
    <xf numFmtId="3" fontId="30" fillId="0" borderId="58" xfId="0" applyNumberFormat="1" applyFont="1" applyFill="1" applyBorder="1"/>
    <xf numFmtId="3" fontId="30" fillId="0" borderId="60" xfId="0" applyNumberFormat="1" applyFont="1" applyFill="1" applyBorder="1"/>
    <xf numFmtId="3" fontId="30" fillId="0" borderId="59" xfId="0" applyNumberFormat="1" applyFont="1" applyFill="1" applyBorder="1"/>
    <xf numFmtId="0" fontId="0" fillId="0" borderId="0" xfId="0" applyFont="1" applyFill="1" applyBorder="1"/>
    <xf numFmtId="0" fontId="0" fillId="2" borderId="42" xfId="0" applyFont="1" applyFill="1" applyBorder="1"/>
    <xf numFmtId="0" fontId="1" fillId="2" borderId="42" xfId="0" applyFont="1" applyFill="1" applyBorder="1" applyAlignment="1">
      <alignment horizontal="left" vertical="top" wrapText="1"/>
    </xf>
    <xf numFmtId="4" fontId="30" fillId="3" borderId="42" xfId="0" applyNumberFormat="1" applyFont="1" applyFill="1" applyBorder="1"/>
    <xf numFmtId="4" fontId="30" fillId="0" borderId="65" xfId="0" applyNumberFormat="1" applyFont="1" applyFill="1" applyBorder="1"/>
    <xf numFmtId="4" fontId="30" fillId="0" borderId="66" xfId="0" applyNumberFormat="1" applyFont="1" applyFill="1" applyBorder="1"/>
    <xf numFmtId="4" fontId="30" fillId="0" borderId="42" xfId="0" applyNumberFormat="1" applyFont="1" applyFill="1" applyBorder="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0" borderId="34" xfId="0" applyBorder="1" applyAlignment="1">
      <alignment wrapText="1"/>
    </xf>
    <xf numFmtId="0" fontId="0" fillId="2" borderId="34" xfId="0" applyFill="1" applyBorder="1" applyAlignment="1">
      <alignment wrapText="1"/>
    </xf>
    <xf numFmtId="0" fontId="0" fillId="0" borderId="0" xfId="0"/>
    <xf numFmtId="0" fontId="0" fillId="0" borderId="0" xfId="0"/>
    <xf numFmtId="0" fontId="0" fillId="0" borderId="2" xfId="0" applyFont="1" applyFill="1" applyBorder="1" applyAlignment="1">
      <alignment horizontal="left" vertical="center" indent="1"/>
    </xf>
    <xf numFmtId="2" fontId="8" fillId="0" borderId="1" xfId="1" applyNumberFormat="1" applyFont="1" applyFill="1" applyBorder="1" applyAlignment="1">
      <alignment horizontal="left" vertical="center" wrapText="1"/>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29" xfId="1" applyFont="1" applyFill="1" applyBorder="1" applyAlignment="1">
      <alignment horizontal="center" vertical="center"/>
    </xf>
    <xf numFmtId="2" fontId="8" fillId="0" borderId="30" xfId="1" applyNumberFormat="1" applyFont="1" applyFill="1" applyBorder="1" applyAlignment="1">
      <alignment horizontal="left" vertical="center"/>
    </xf>
    <xf numFmtId="165" fontId="0" fillId="3" borderId="30" xfId="0" applyNumberFormat="1" applyFont="1" applyFill="1" applyBorder="1"/>
    <xf numFmtId="165" fontId="1" fillId="3" borderId="30" xfId="0" applyNumberFormat="1" applyFont="1" applyFill="1" applyBorder="1"/>
    <xf numFmtId="165" fontId="1" fillId="0" borderId="30" xfId="0" applyNumberFormat="1" applyFont="1" applyBorder="1"/>
    <xf numFmtId="0" fontId="8" fillId="2" borderId="15" xfId="1" applyFont="1" applyFill="1" applyBorder="1" applyAlignment="1">
      <alignment horizontal="center" vertical="center" wrapText="1"/>
    </xf>
    <xf numFmtId="0" fontId="8" fillId="2" borderId="15" xfId="1" applyFont="1" applyFill="1" applyBorder="1" applyAlignment="1">
      <alignment horizontal="center" vertical="center"/>
    </xf>
    <xf numFmtId="0" fontId="8" fillId="2" borderId="20" xfId="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5" fillId="0" borderId="0" xfId="1" applyFont="1" applyFill="1" applyBorder="1" applyAlignment="1">
      <alignment vertical="center"/>
    </xf>
    <xf numFmtId="0" fontId="8" fillId="2" borderId="2" xfId="1" applyFont="1" applyFill="1" applyBorder="1" applyAlignment="1">
      <alignment horizontal="center" vertical="center"/>
    </xf>
    <xf numFmtId="2" fontId="8" fillId="0" borderId="2" xfId="1" applyNumberFormat="1" applyFont="1" applyFill="1" applyBorder="1" applyAlignment="1">
      <alignment horizontal="left" vertical="center" wrapText="1"/>
    </xf>
    <xf numFmtId="165" fontId="8" fillId="3" borderId="1" xfId="3" applyNumberFormat="1" applyFont="1" applyFill="1" applyBorder="1" applyAlignment="1">
      <alignment vertical="center"/>
    </xf>
    <xf numFmtId="165" fontId="8" fillId="0" borderId="1" xfId="3" applyNumberFormat="1" applyFont="1" applyFill="1" applyBorder="1" applyAlignment="1">
      <alignment vertical="center"/>
    </xf>
    <xf numFmtId="2" fontId="5" fillId="0" borderId="0" xfId="1" applyNumberFormat="1" applyFont="1" applyFill="1" applyBorder="1" applyAlignment="1">
      <alignment horizontal="left" vertical="center"/>
    </xf>
    <xf numFmtId="2" fontId="8" fillId="0" borderId="1" xfId="1" applyNumberFormat="1" applyFont="1" applyFill="1" applyBorder="1" applyAlignment="1">
      <alignment horizontal="left" vertical="center"/>
    </xf>
    <xf numFmtId="0" fontId="30" fillId="0" borderId="0" xfId="0" applyFont="1" applyFill="1" applyBorder="1"/>
    <xf numFmtId="0" fontId="30" fillId="0" borderId="64" xfId="0" applyFont="1" applyFill="1" applyBorder="1"/>
    <xf numFmtId="3" fontId="30" fillId="0" borderId="11" xfId="0" applyNumberFormat="1" applyFont="1" applyFill="1" applyBorder="1" applyAlignment="1">
      <alignment horizontal="right"/>
    </xf>
    <xf numFmtId="4" fontId="30" fillId="0" borderId="11" xfId="0" applyNumberFormat="1" applyFont="1" applyFill="1" applyBorder="1" applyAlignment="1">
      <alignment horizontal="right"/>
    </xf>
    <xf numFmtId="0" fontId="7" fillId="0" borderId="56" xfId="0" applyFont="1" applyFill="1" applyBorder="1"/>
    <xf numFmtId="165" fontId="8" fillId="0" borderId="22" xfId="3" applyNumberFormat="1" applyFont="1" applyFill="1" applyBorder="1" applyAlignment="1">
      <alignment vertical="center"/>
    </xf>
    <xf numFmtId="165" fontId="8" fillId="0" borderId="23" xfId="3" applyNumberFormat="1" applyFont="1" applyFill="1" applyBorder="1" applyAlignment="1">
      <alignment vertical="center"/>
    </xf>
    <xf numFmtId="169" fontId="0" fillId="3" borderId="11" xfId="0" applyNumberFormat="1" applyFont="1" applyFill="1" applyBorder="1"/>
    <xf numFmtId="169" fontId="0" fillId="3" borderId="12" xfId="0" applyNumberFormat="1" applyFont="1" applyFill="1" applyBorder="1"/>
    <xf numFmtId="169" fontId="0" fillId="0" borderId="8" xfId="0" applyNumberFormat="1" applyFont="1" applyBorder="1"/>
    <xf numFmtId="169" fontId="0" fillId="0" borderId="9" xfId="0" applyNumberFormat="1" applyFont="1" applyBorder="1"/>
    <xf numFmtId="2" fontId="8" fillId="0" borderId="2" xfId="1" applyNumberFormat="1" applyFont="1" applyFill="1" applyBorder="1" applyAlignment="1">
      <alignment horizontal="left" vertical="center"/>
    </xf>
    <xf numFmtId="0" fontId="0" fillId="0" borderId="0" xfId="0"/>
    <xf numFmtId="0" fontId="30" fillId="0" borderId="35" xfId="0" applyFont="1" applyFill="1" applyBorder="1" applyAlignment="1">
      <alignment horizontal="left"/>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2" fillId="0" borderId="4" xfId="0" applyFont="1" applyBorder="1" applyAlignment="1"/>
    <xf numFmtId="0" fontId="2" fillId="0" borderId="5" xfId="0" applyFont="1" applyBorder="1" applyAlignment="1"/>
    <xf numFmtId="0" fontId="2" fillId="0" borderId="6" xfId="0" applyFont="1" applyBorder="1" applyAlignment="1"/>
    <xf numFmtId="0" fontId="30" fillId="3" borderId="1"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8" xfId="0" applyFont="1" applyFill="1" applyBorder="1" applyAlignment="1">
      <alignment horizontal="center" vertical="center"/>
    </xf>
    <xf numFmtId="0" fontId="30" fillId="3" borderId="8" xfId="0" applyFont="1" applyFill="1" applyBorder="1" applyAlignment="1">
      <alignment horizontal="center" vertical="center" wrapText="1"/>
    </xf>
    <xf numFmtId="0" fontId="0" fillId="0" borderId="0" xfId="0"/>
    <xf numFmtId="3" fontId="8" fillId="0" borderId="1" xfId="3" applyNumberFormat="1" applyFont="1" applyFill="1" applyBorder="1" applyAlignment="1">
      <alignment vertical="center"/>
    </xf>
    <xf numFmtId="3" fontId="8" fillId="3" borderId="1" xfId="3" applyNumberFormat="1" applyFont="1" applyFill="1" applyBorder="1" applyAlignment="1">
      <alignment vertical="center"/>
    </xf>
    <xf numFmtId="2" fontId="8" fillId="0" borderId="50" xfId="1" applyNumberFormat="1" applyFont="1" applyFill="1" applyBorder="1" applyAlignment="1">
      <alignment horizontal="left" vertical="center"/>
    </xf>
    <xf numFmtId="0" fontId="0" fillId="0" borderId="56" xfId="0" applyFont="1" applyFill="1" applyBorder="1" applyAlignment="1"/>
    <xf numFmtId="0" fontId="0" fillId="0" borderId="1" xfId="0" applyFont="1" applyBorder="1" applyAlignment="1">
      <alignment wrapText="1"/>
    </xf>
    <xf numFmtId="3" fontId="8" fillId="0" borderId="0" xfId="3" applyNumberFormat="1" applyFont="1" applyFill="1" applyBorder="1" applyAlignment="1">
      <alignment vertical="center"/>
    </xf>
    <xf numFmtId="0" fontId="0" fillId="0" borderId="0" xfId="0" applyFont="1" applyFill="1" applyBorder="1" applyAlignment="1"/>
    <xf numFmtId="0" fontId="1" fillId="0" borderId="1" xfId="0" applyFont="1" applyBorder="1" applyAlignment="1">
      <alignment wrapText="1"/>
    </xf>
    <xf numFmtId="10" fontId="1" fillId="0" borderId="1" xfId="0" applyNumberFormat="1" applyFont="1" applyBorder="1" applyAlignment="1"/>
    <xf numFmtId="0" fontId="0" fillId="0" borderId="0" xfId="0" applyFont="1" applyFill="1"/>
    <xf numFmtId="0" fontId="0" fillId="2" borderId="11" xfId="0" applyFont="1" applyFill="1" applyBorder="1" applyAlignment="1">
      <alignment horizontal="left" vertical="center"/>
    </xf>
    <xf numFmtId="165" fontId="1" fillId="0" borderId="1" xfId="0" applyNumberFormat="1" applyFont="1" applyBorder="1" applyAlignment="1">
      <alignment horizontal="right"/>
    </xf>
    <xf numFmtId="173" fontId="1" fillId="0" borderId="1" xfId="0" applyNumberFormat="1" applyFont="1" applyBorder="1" applyAlignment="1">
      <alignment horizontal="right"/>
    </xf>
    <xf numFmtId="165" fontId="0" fillId="0" borderId="1" xfId="0" applyNumberFormat="1" applyFont="1" applyFill="1" applyBorder="1" applyAlignment="1">
      <alignment horizontal="right"/>
    </xf>
    <xf numFmtId="0" fontId="0" fillId="3" borderId="1" xfId="0" applyFill="1" applyBorder="1"/>
    <xf numFmtId="0" fontId="0" fillId="2" borderId="1" xfId="0" applyFill="1" applyBorder="1"/>
    <xf numFmtId="0" fontId="0" fillId="2" borderId="1" xfId="0" applyFill="1" applyBorder="1" applyAlignment="1">
      <alignment wrapText="1"/>
    </xf>
    <xf numFmtId="0" fontId="0" fillId="2" borderId="29" xfId="0" applyFill="1" applyBorder="1"/>
    <xf numFmtId="165" fontId="1" fillId="0" borderId="29" xfId="0" applyNumberFormat="1" applyFont="1" applyBorder="1" applyAlignment="1">
      <alignment horizontal="right"/>
    </xf>
    <xf numFmtId="0" fontId="0" fillId="2" borderId="11" xfId="0" applyFill="1" applyBorder="1"/>
    <xf numFmtId="165" fontId="1" fillId="0" borderId="11" xfId="0" applyNumberFormat="1" applyFont="1" applyBorder="1" applyAlignment="1">
      <alignment horizontal="right"/>
    </xf>
    <xf numFmtId="0" fontId="0" fillId="2" borderId="30" xfId="0" applyFill="1" applyBorder="1"/>
    <xf numFmtId="165" fontId="1" fillId="0" borderId="30" xfId="0" applyNumberFormat="1" applyFont="1" applyBorder="1" applyAlignment="1">
      <alignment horizontal="right"/>
    </xf>
    <xf numFmtId="0" fontId="0" fillId="2" borderId="49" xfId="0" applyFill="1" applyBorder="1"/>
    <xf numFmtId="165" fontId="1" fillId="0" borderId="49" xfId="0" applyNumberFormat="1" applyFont="1" applyBorder="1" applyAlignment="1">
      <alignment horizontal="right"/>
    </xf>
    <xf numFmtId="0" fontId="2" fillId="2" borderId="11" xfId="0" applyFont="1" applyFill="1" applyBorder="1"/>
    <xf numFmtId="0" fontId="0" fillId="2" borderId="11" xfId="0" applyFill="1" applyBorder="1" applyAlignment="1">
      <alignment wrapText="1"/>
    </xf>
    <xf numFmtId="0" fontId="8" fillId="2" borderId="1" xfId="1" applyFont="1" applyFill="1" applyBorder="1" applyAlignment="1">
      <alignment horizontal="center" wrapText="1"/>
    </xf>
    <xf numFmtId="0" fontId="1" fillId="0" borderId="0" xfId="0" applyFont="1" applyFill="1"/>
    <xf numFmtId="0" fontId="1" fillId="0" borderId="0" xfId="0" applyFont="1"/>
    <xf numFmtId="0" fontId="8" fillId="0" borderId="1" xfId="1" applyFont="1" applyFill="1" applyBorder="1" applyAlignment="1">
      <alignment vertical="center"/>
    </xf>
    <xf numFmtId="9" fontId="1" fillId="0" borderId="1" xfId="0" applyNumberFormat="1" applyFont="1" applyBorder="1"/>
    <xf numFmtId="173" fontId="0" fillId="0" borderId="1" xfId="0" applyNumberFormat="1" applyFont="1" applyBorder="1" applyAlignment="1">
      <alignment horizontal="right"/>
    </xf>
    <xf numFmtId="0" fontId="0" fillId="2" borderId="29" xfId="0" applyFill="1" applyBorder="1" applyAlignment="1">
      <alignment wrapText="1"/>
    </xf>
    <xf numFmtId="0" fontId="8" fillId="2" borderId="29" xfId="1" applyFont="1" applyFill="1" applyBorder="1" applyAlignment="1">
      <alignment horizontal="center" wrapText="1"/>
    </xf>
    <xf numFmtId="0" fontId="0" fillId="2" borderId="29" xfId="0" applyFill="1" applyBorder="1" applyAlignment="1">
      <alignment shrinkToFit="1"/>
    </xf>
    <xf numFmtId="0" fontId="2" fillId="2" borderId="11" xfId="0" applyFont="1" applyFill="1" applyBorder="1" applyAlignment="1">
      <alignment wrapText="1"/>
    </xf>
    <xf numFmtId="0" fontId="5" fillId="2" borderId="11" xfId="1" applyFont="1" applyFill="1" applyBorder="1" applyAlignment="1">
      <alignment horizontal="center" wrapText="1"/>
    </xf>
    <xf numFmtId="0" fontId="2" fillId="2" borderId="11" xfId="0" applyFont="1" applyFill="1" applyBorder="1" applyAlignment="1">
      <alignment shrinkToFit="1"/>
    </xf>
    <xf numFmtId="0" fontId="0" fillId="2" borderId="1" xfId="0" applyFill="1" applyBorder="1" applyAlignment="1">
      <alignment horizontal="left" indent="1"/>
    </xf>
    <xf numFmtId="0" fontId="7" fillId="2" borderId="41" xfId="0" applyFont="1" applyFill="1" applyBorder="1" applyAlignment="1">
      <alignment horizontal="left"/>
    </xf>
    <xf numFmtId="0" fontId="7" fillId="2" borderId="43" xfId="0" applyFont="1" applyFill="1" applyBorder="1" applyAlignment="1">
      <alignment horizontal="left"/>
    </xf>
    <xf numFmtId="165" fontId="1" fillId="0" borderId="41" xfId="0" applyNumberFormat="1" applyFont="1" applyBorder="1" applyAlignment="1">
      <alignment horizontal="right"/>
    </xf>
    <xf numFmtId="165" fontId="1" fillId="0" borderId="43" xfId="0" applyNumberFormat="1" applyFont="1" applyBorder="1" applyAlignment="1">
      <alignment horizontal="right"/>
    </xf>
    <xf numFmtId="165" fontId="7" fillId="0" borderId="41" xfId="0" applyNumberFormat="1" applyFont="1" applyBorder="1" applyAlignment="1">
      <alignment horizontal="right"/>
    </xf>
    <xf numFmtId="165" fontId="7" fillId="0" borderId="43" xfId="0" applyNumberFormat="1" applyFont="1" applyBorder="1" applyAlignment="1">
      <alignment horizontal="right"/>
    </xf>
    <xf numFmtId="0" fontId="7" fillId="3" borderId="41" xfId="0" applyFont="1" applyFill="1" applyBorder="1"/>
    <xf numFmtId="165" fontId="7" fillId="3" borderId="41" xfId="0" applyNumberFormat="1" applyFont="1" applyFill="1" applyBorder="1" applyAlignment="1">
      <alignment horizontal="right"/>
    </xf>
    <xf numFmtId="0" fontId="7" fillId="3" borderId="43" xfId="0" applyFont="1" applyFill="1" applyBorder="1"/>
    <xf numFmtId="165" fontId="7" fillId="3" borderId="43" xfId="0" applyNumberFormat="1" applyFont="1" applyFill="1" applyBorder="1" applyAlignment="1">
      <alignment horizontal="right"/>
    </xf>
    <xf numFmtId="165" fontId="1" fillId="3" borderId="1" xfId="0" applyNumberFormat="1" applyFont="1" applyFill="1" applyBorder="1" applyAlignment="1">
      <alignment horizontal="right"/>
    </xf>
    <xf numFmtId="165" fontId="7" fillId="0" borderId="68" xfId="0" applyNumberFormat="1" applyFont="1" applyBorder="1" applyAlignment="1">
      <alignment horizontal="right"/>
    </xf>
    <xf numFmtId="165" fontId="7" fillId="0" borderId="69" xfId="0" applyNumberFormat="1" applyFont="1" applyBorder="1" applyAlignment="1">
      <alignment horizontal="right"/>
    </xf>
    <xf numFmtId="0" fontId="2" fillId="2" borderId="1" xfId="0" applyFont="1" applyFill="1" applyBorder="1" applyAlignment="1">
      <alignment horizontal="left" vertical="center" wrapText="1"/>
    </xf>
    <xf numFmtId="165" fontId="7" fillId="0" borderId="52" xfId="0" quotePrefix="1" applyNumberFormat="1" applyFont="1" applyBorder="1" applyAlignment="1">
      <alignment horizontal="right"/>
    </xf>
    <xf numFmtId="165" fontId="7" fillId="0" borderId="54" xfId="0" quotePrefix="1" applyNumberFormat="1" applyFont="1" applyBorder="1" applyAlignment="1">
      <alignment horizontal="right"/>
    </xf>
    <xf numFmtId="173" fontId="1" fillId="0" borderId="29" xfId="0" applyNumberFormat="1" applyFont="1" applyBorder="1" applyAlignment="1">
      <alignment horizontal="right"/>
    </xf>
    <xf numFmtId="173" fontId="27" fillId="0" borderId="30" xfId="0" applyNumberFormat="1" applyFont="1" applyFill="1" applyBorder="1" applyAlignment="1">
      <alignment horizontal="right"/>
    </xf>
    <xf numFmtId="173" fontId="27" fillId="0" borderId="49" xfId="0" applyNumberFormat="1" applyFont="1" applyFill="1" applyBorder="1" applyAlignment="1">
      <alignment horizontal="right"/>
    </xf>
    <xf numFmtId="173" fontId="27" fillId="0" borderId="43" xfId="0" applyNumberFormat="1" applyFont="1" applyFill="1" applyBorder="1" applyAlignment="1">
      <alignment horizontal="right"/>
    </xf>
    <xf numFmtId="173" fontId="1" fillId="0" borderId="29" xfId="0" applyNumberFormat="1" applyFont="1" applyFill="1" applyBorder="1" applyAlignment="1">
      <alignment horizontal="right"/>
    </xf>
    <xf numFmtId="0" fontId="30" fillId="3" borderId="35" xfId="0" applyFont="1" applyFill="1" applyBorder="1" applyAlignment="1">
      <alignment horizontal="left"/>
    </xf>
    <xf numFmtId="165" fontId="27" fillId="0" borderId="30" xfId="0" applyNumberFormat="1" applyFont="1" applyFill="1" applyBorder="1" applyAlignment="1">
      <alignment horizontal="right"/>
    </xf>
    <xf numFmtId="165" fontId="27" fillId="0" borderId="49" xfId="0" applyNumberFormat="1" applyFont="1" applyFill="1" applyBorder="1" applyAlignment="1">
      <alignment horizontal="right"/>
    </xf>
    <xf numFmtId="165" fontId="27" fillId="0" borderId="43" xfId="0" applyNumberFormat="1" applyFont="1" applyFill="1" applyBorder="1" applyAlignment="1">
      <alignment horizontal="right"/>
    </xf>
    <xf numFmtId="2" fontId="8" fillId="0" borderId="41" xfId="1" applyNumberFormat="1" applyFont="1" applyFill="1" applyBorder="1" applyAlignment="1">
      <alignment horizontal="left" vertical="center" wrapText="1"/>
    </xf>
    <xf numFmtId="165" fontId="0" fillId="3" borderId="41" xfId="0" applyNumberFormat="1" applyFont="1" applyFill="1" applyBorder="1"/>
    <xf numFmtId="165" fontId="1" fillId="3" borderId="41" xfId="0" applyNumberFormat="1" applyFont="1" applyFill="1" applyBorder="1"/>
    <xf numFmtId="173" fontId="1" fillId="0" borderId="41" xfId="0" applyNumberFormat="1" applyFont="1" applyBorder="1" applyAlignment="1">
      <alignment horizontal="right"/>
    </xf>
    <xf numFmtId="2" fontId="8" fillId="0" borderId="42" xfId="1" applyNumberFormat="1" applyFont="1" applyFill="1" applyBorder="1" applyAlignment="1">
      <alignment horizontal="left" vertical="center" wrapText="1"/>
    </xf>
    <xf numFmtId="165" fontId="0" fillId="3" borderId="42" xfId="0" applyNumberFormat="1" applyFont="1" applyFill="1" applyBorder="1"/>
    <xf numFmtId="165" fontId="1" fillId="3" borderId="42" xfId="0" applyNumberFormat="1" applyFont="1" applyFill="1" applyBorder="1"/>
    <xf numFmtId="165" fontId="1" fillId="0" borderId="42" xfId="0" applyNumberFormat="1" applyFont="1" applyBorder="1" applyAlignment="1">
      <alignment horizontal="right"/>
    </xf>
    <xf numFmtId="173" fontId="1" fillId="0" borderId="42" xfId="0" applyNumberFormat="1" applyFont="1" applyBorder="1" applyAlignment="1">
      <alignment horizontal="right"/>
    </xf>
    <xf numFmtId="2" fontId="8" fillId="0" borderId="43" xfId="1" applyNumberFormat="1" applyFont="1" applyFill="1" applyBorder="1" applyAlignment="1">
      <alignment horizontal="left" vertical="center" wrapText="1"/>
    </xf>
    <xf numFmtId="165" fontId="0" fillId="3" borderId="43" xfId="0" applyNumberFormat="1" applyFont="1" applyFill="1" applyBorder="1"/>
    <xf numFmtId="165" fontId="1" fillId="3" borderId="43" xfId="0" applyNumberFormat="1" applyFont="1" applyFill="1" applyBorder="1"/>
    <xf numFmtId="173" fontId="1" fillId="0" borderId="43" xfId="0" applyNumberFormat="1" applyFont="1" applyBorder="1" applyAlignment="1">
      <alignment horizontal="right"/>
    </xf>
    <xf numFmtId="0" fontId="2" fillId="2" borderId="2" xfId="0" applyFont="1" applyFill="1" applyBorder="1" applyAlignment="1">
      <alignment horizontal="left" vertical="center"/>
    </xf>
    <xf numFmtId="0" fontId="5" fillId="2" borderId="15" xfId="1" applyFont="1" applyFill="1" applyBorder="1" applyAlignment="1">
      <alignment horizontal="center" vertical="center" wrapText="1"/>
    </xf>
    <xf numFmtId="0" fontId="5" fillId="2" borderId="15" xfId="1" applyFont="1" applyFill="1" applyBorder="1" applyAlignment="1">
      <alignment horizontal="center" vertical="center"/>
    </xf>
    <xf numFmtId="0" fontId="5" fillId="2" borderId="20" xfId="1" applyFont="1" applyFill="1" applyBorder="1" applyAlignment="1">
      <alignment horizontal="center" vertical="center" wrapText="1"/>
    </xf>
    <xf numFmtId="165" fontId="0" fillId="0" borderId="1" xfId="0" applyNumberFormat="1" applyFont="1" applyBorder="1" applyAlignment="1">
      <alignment horizontal="right"/>
    </xf>
    <xf numFmtId="2" fontId="0" fillId="0" borderId="1" xfId="0" applyNumberFormat="1" applyFont="1" applyBorder="1" applyAlignment="1">
      <alignment horizontal="left" vertical="center" wrapText="1"/>
    </xf>
    <xf numFmtId="2" fontId="8" fillId="0" borderId="29" xfId="1" applyNumberFormat="1" applyFont="1" applyFill="1" applyBorder="1" applyAlignment="1">
      <alignment horizontal="left" vertical="center" wrapText="1"/>
    </xf>
    <xf numFmtId="165" fontId="1" fillId="0" borderId="29" xfId="0" applyNumberFormat="1" applyFont="1" applyBorder="1"/>
    <xf numFmtId="2" fontId="29" fillId="0" borderId="30" xfId="1" applyNumberFormat="1" applyFont="1" applyFill="1" applyBorder="1" applyAlignment="1">
      <alignment horizontal="left" vertical="center" wrapText="1" indent="1"/>
    </xf>
    <xf numFmtId="165" fontId="27" fillId="0" borderId="30" xfId="0" applyNumberFormat="1" applyFont="1" applyFill="1" applyBorder="1"/>
    <xf numFmtId="173" fontId="27" fillId="0" borderId="30" xfId="0" applyNumberFormat="1" applyFont="1" applyBorder="1" applyAlignment="1">
      <alignment horizontal="right"/>
    </xf>
    <xf numFmtId="2" fontId="29" fillId="0" borderId="11" xfId="1" applyNumberFormat="1" applyFont="1" applyFill="1" applyBorder="1" applyAlignment="1">
      <alignment horizontal="left" vertical="center" wrapText="1" indent="1"/>
    </xf>
    <xf numFmtId="165" fontId="27" fillId="0" borderId="11" xfId="0" applyNumberFormat="1" applyFont="1" applyFill="1" applyBorder="1"/>
    <xf numFmtId="165" fontId="27" fillId="3" borderId="11" xfId="0" applyNumberFormat="1" applyFont="1" applyFill="1" applyBorder="1"/>
    <xf numFmtId="165" fontId="27" fillId="0" borderId="11" xfId="0" applyNumberFormat="1" applyFont="1" applyFill="1" applyBorder="1" applyAlignment="1">
      <alignment horizontal="right"/>
    </xf>
    <xf numFmtId="173" fontId="27" fillId="0" borderId="11" xfId="0" applyNumberFormat="1" applyFont="1" applyBorder="1" applyAlignment="1">
      <alignment horizontal="right"/>
    </xf>
    <xf numFmtId="165" fontId="0" fillId="0" borderId="29" xfId="0" applyNumberFormat="1" applyFont="1" applyFill="1" applyBorder="1"/>
    <xf numFmtId="165" fontId="0" fillId="0" borderId="29" xfId="0" applyNumberFormat="1" applyFont="1" applyFill="1" applyBorder="1" applyAlignment="1">
      <alignment horizontal="right"/>
    </xf>
    <xf numFmtId="10" fontId="0" fillId="0" borderId="29" xfId="0" applyNumberFormat="1" applyFont="1" applyFill="1" applyBorder="1"/>
    <xf numFmtId="2" fontId="8" fillId="0" borderId="30" xfId="1" applyNumberFormat="1" applyFont="1" applyFill="1" applyBorder="1" applyAlignment="1">
      <alignment horizontal="left" vertical="center" indent="1"/>
    </xf>
    <xf numFmtId="165" fontId="0" fillId="0" borderId="30" xfId="0" applyNumberFormat="1" applyFont="1" applyFill="1" applyBorder="1"/>
    <xf numFmtId="10" fontId="1" fillId="0" borderId="30" xfId="0" applyNumberFormat="1" applyFont="1" applyBorder="1" applyAlignment="1">
      <alignment horizontal="right"/>
    </xf>
    <xf numFmtId="2" fontId="8" fillId="0" borderId="11" xfId="1" applyNumberFormat="1" applyFont="1" applyFill="1" applyBorder="1" applyAlignment="1">
      <alignment horizontal="left" vertical="center" indent="1"/>
    </xf>
    <xf numFmtId="165" fontId="0" fillId="0" borderId="11" xfId="0" applyNumberFormat="1" applyFont="1" applyFill="1" applyBorder="1"/>
    <xf numFmtId="165" fontId="0" fillId="3" borderId="11" xfId="0" applyNumberFormat="1" applyFont="1" applyFill="1" applyBorder="1"/>
    <xf numFmtId="10" fontId="1" fillId="0" borderId="11" xfId="0" applyNumberFormat="1" applyFont="1" applyBorder="1" applyAlignment="1">
      <alignment horizontal="right"/>
    </xf>
    <xf numFmtId="165" fontId="1" fillId="0" borderId="1" xfId="0" applyNumberFormat="1" applyFont="1" applyFill="1" applyBorder="1" applyAlignment="1">
      <alignment horizontal="right"/>
    </xf>
    <xf numFmtId="0" fontId="0" fillId="0" borderId="0" xfId="0"/>
    <xf numFmtId="170" fontId="1" fillId="1" borderId="1" xfId="0" applyNumberFormat="1" applyFont="1" applyFill="1" applyBorder="1"/>
    <xf numFmtId="170" fontId="1" fillId="0" borderId="1" xfId="0" applyNumberFormat="1" applyFont="1" applyBorder="1"/>
    <xf numFmtId="0" fontId="0" fillId="0" borderId="0" xfId="0"/>
    <xf numFmtId="0" fontId="0" fillId="0" borderId="0" xfId="0" applyFont="1" applyAlignment="1"/>
    <xf numFmtId="0" fontId="7" fillId="2" borderId="1" xfId="0" applyFont="1" applyFill="1" applyBorder="1" applyAlignment="1">
      <alignment wrapText="1"/>
    </xf>
    <xf numFmtId="0" fontId="7" fillId="2" borderId="29" xfId="0" applyFont="1" applyFill="1" applyBorder="1" applyAlignment="1">
      <alignment wrapText="1"/>
    </xf>
    <xf numFmtId="0" fontId="34" fillId="2" borderId="11" xfId="0" applyFont="1" applyFill="1" applyBorder="1" applyAlignment="1">
      <alignment wrapText="1"/>
    </xf>
    <xf numFmtId="165" fontId="7" fillId="0" borderId="29" xfId="0" applyNumberFormat="1" applyFont="1" applyBorder="1" applyAlignment="1">
      <alignment horizontal="right"/>
    </xf>
    <xf numFmtId="165" fontId="7" fillId="0" borderId="49" xfId="0" applyNumberFormat="1" applyFont="1" applyBorder="1" applyAlignment="1">
      <alignment horizontal="right"/>
    </xf>
    <xf numFmtId="165" fontId="7" fillId="0" borderId="30" xfId="0" applyNumberFormat="1" applyFont="1" applyBorder="1" applyAlignment="1">
      <alignment horizontal="right"/>
    </xf>
    <xf numFmtId="165" fontId="7" fillId="0" borderId="11" xfId="0" applyNumberFormat="1" applyFont="1" applyBorder="1" applyAlignment="1">
      <alignment horizontal="right"/>
    </xf>
    <xf numFmtId="0" fontId="1" fillId="0" borderId="1" xfId="0" applyFont="1" applyBorder="1" applyAlignment="1">
      <alignment horizontal="center"/>
    </xf>
    <xf numFmtId="0" fontId="1" fillId="3" borderId="1" xfId="0" applyFont="1" applyFill="1" applyBorder="1" applyAlignment="1">
      <alignment horizontal="center"/>
    </xf>
    <xf numFmtId="165" fontId="1" fillId="0" borderId="22" xfId="0" applyNumberFormat="1" applyFont="1" applyBorder="1" applyAlignment="1">
      <alignment horizontal="right"/>
    </xf>
    <xf numFmtId="165" fontId="1" fillId="0" borderId="23" xfId="0" applyNumberFormat="1" applyFont="1" applyBorder="1" applyAlignment="1">
      <alignment horizontal="right"/>
    </xf>
    <xf numFmtId="170" fontId="1" fillId="3" borderId="1" xfId="0" applyNumberFormat="1" applyFont="1" applyFill="1" applyBorder="1"/>
    <xf numFmtId="0" fontId="0" fillId="0" borderId="1" xfId="0" applyFont="1" applyBorder="1" applyAlignment="1">
      <alignment horizontal="left"/>
    </xf>
    <xf numFmtId="0" fontId="22" fillId="0" borderId="0" xfId="4"/>
    <xf numFmtId="0" fontId="2" fillId="0" borderId="0" xfId="4" applyFont="1"/>
    <xf numFmtId="0" fontId="1" fillId="2" borderId="1" xfId="4" applyFont="1" applyFill="1" applyBorder="1"/>
    <xf numFmtId="0" fontId="1" fillId="2" borderId="1" xfId="4" applyFont="1" applyFill="1" applyBorder="1" applyAlignment="1">
      <alignment horizontal="center" vertical="center" wrapText="1"/>
    </xf>
    <xf numFmtId="0" fontId="1" fillId="2" borderId="1" xfId="4" applyFont="1" applyFill="1" applyBorder="1" applyAlignment="1">
      <alignment horizontal="center"/>
    </xf>
    <xf numFmtId="0" fontId="7" fillId="0" borderId="0" xfId="4" applyFont="1"/>
    <xf numFmtId="2" fontId="1" fillId="0" borderId="1" xfId="4" applyNumberFormat="1" applyFont="1" applyBorder="1"/>
    <xf numFmtId="0" fontId="8" fillId="0" borderId="0" xfId="4" applyFont="1" applyFill="1" applyBorder="1"/>
    <xf numFmtId="0" fontId="0" fillId="2" borderId="1" xfId="4" applyFont="1" applyFill="1" applyBorder="1"/>
    <xf numFmtId="0" fontId="0" fillId="2" borderId="1" xfId="4" applyFont="1" applyFill="1" applyBorder="1" applyAlignment="1">
      <alignment horizontal="center"/>
    </xf>
    <xf numFmtId="0" fontId="0" fillId="2" borderId="1" xfId="4" applyFont="1" applyFill="1" applyBorder="1" applyAlignment="1">
      <alignment horizontal="center" vertical="center" wrapText="1"/>
    </xf>
    <xf numFmtId="0" fontId="0" fillId="2" borderId="1" xfId="4" applyFont="1" applyFill="1" applyBorder="1" applyAlignment="1">
      <alignment wrapText="1"/>
    </xf>
    <xf numFmtId="0" fontId="7" fillId="0" borderId="0" xfId="4" applyFont="1" applyFill="1" applyBorder="1"/>
    <xf numFmtId="169" fontId="7" fillId="0" borderId="1" xfId="0" applyNumberFormat="1" applyFont="1" applyBorder="1" applyAlignment="1">
      <alignment vertical="center"/>
    </xf>
    <xf numFmtId="169" fontId="13" fillId="0" borderId="1" xfId="0" applyNumberFormat="1" applyFont="1" applyBorder="1" applyAlignment="1">
      <alignment vertical="center"/>
    </xf>
    <xf numFmtId="165" fontId="1" fillId="0" borderId="1" xfId="4" applyNumberFormat="1" applyFont="1" applyBorder="1" applyAlignment="1">
      <alignment horizontal="right"/>
    </xf>
    <xf numFmtId="165" fontId="1" fillId="0" borderId="1" xfId="4" applyNumberFormat="1" applyFont="1" applyFill="1" applyBorder="1" applyAlignment="1">
      <alignment horizontal="right"/>
    </xf>
    <xf numFmtId="0" fontId="0" fillId="0" borderId="0" xfId="0"/>
    <xf numFmtId="0" fontId="0" fillId="2" borderId="22" xfId="0" applyFont="1" applyFill="1" applyBorder="1" applyAlignment="1">
      <alignment horizontal="center"/>
    </xf>
    <xf numFmtId="178" fontId="27" fillId="2" borderId="20" xfId="0" applyNumberFormat="1" applyFont="1" applyFill="1" applyBorder="1" applyAlignment="1">
      <alignment horizontal="center"/>
    </xf>
    <xf numFmtId="178" fontId="27" fillId="2" borderId="1" xfId="0" applyNumberFormat="1" applyFont="1" applyFill="1" applyBorder="1" applyAlignment="1">
      <alignment horizontal="center"/>
    </xf>
    <xf numFmtId="0" fontId="0" fillId="0" borderId="1" xfId="0" applyFont="1" applyBorder="1" applyAlignment="1">
      <alignment horizontal="left" vertical="center"/>
    </xf>
    <xf numFmtId="4" fontId="27" fillId="0" borderId="20" xfId="0" applyNumberFormat="1" applyFont="1" applyFill="1" applyBorder="1"/>
    <xf numFmtId="4" fontId="27" fillId="0" borderId="1" xfId="0" applyNumberFormat="1" applyFont="1" applyFill="1" applyBorder="1"/>
    <xf numFmtId="172" fontId="1" fillId="3" borderId="1" xfId="0" applyNumberFormat="1" applyFont="1" applyFill="1" applyBorder="1"/>
    <xf numFmtId="172" fontId="1" fillId="0" borderId="1" xfId="0" applyNumberFormat="1" applyFont="1" applyBorder="1"/>
    <xf numFmtId="0" fontId="0" fillId="0" borderId="2" xfId="0" applyFont="1" applyBorder="1" applyAlignment="1">
      <alignment horizontal="left" vertical="center" indent="1"/>
    </xf>
    <xf numFmtId="0" fontId="0" fillId="0" borderId="0" xfId="0"/>
    <xf numFmtId="173" fontId="0" fillId="0" borderId="0" xfId="0" applyNumberFormat="1"/>
    <xf numFmtId="0" fontId="0" fillId="0" borderId="0" xfId="0"/>
    <xf numFmtId="0" fontId="27" fillId="2" borderId="1" xfId="0" applyFont="1" applyFill="1" applyBorder="1" applyAlignment="1">
      <alignment horizontal="center"/>
    </xf>
    <xf numFmtId="0" fontId="37" fillId="0" borderId="0" xfId="5"/>
    <xf numFmtId="0" fontId="5" fillId="2" borderId="1" xfId="0" applyFont="1" applyFill="1" applyBorder="1" applyAlignment="1">
      <alignment horizontal="left"/>
    </xf>
    <xf numFmtId="14" fontId="0" fillId="0" borderId="1" xfId="0" applyNumberFormat="1" applyBorder="1"/>
    <xf numFmtId="0" fontId="0" fillId="0" borderId="0" xfId="0"/>
    <xf numFmtId="0" fontId="0" fillId="0" borderId="0" xfId="0"/>
    <xf numFmtId="0" fontId="0" fillId="0" borderId="0" xfId="0" applyFont="1" applyFill="1" applyBorder="1" applyAlignment="1">
      <alignment horizontal="left" vertical="center" wrapText="1"/>
    </xf>
    <xf numFmtId="0" fontId="1" fillId="2" borderId="23" xfId="0" applyFont="1" applyFill="1" applyBorder="1" applyAlignment="1">
      <alignment horizontal="center"/>
    </xf>
    <xf numFmtId="4" fontId="1" fillId="0" borderId="1" xfId="0" applyNumberFormat="1" applyFont="1" applyFill="1" applyBorder="1"/>
    <xf numFmtId="0" fontId="0" fillId="0" borderId="0" xfId="0"/>
    <xf numFmtId="0" fontId="0" fillId="0" borderId="0" xfId="0"/>
    <xf numFmtId="0" fontId="0" fillId="0" borderId="0" xfId="0"/>
    <xf numFmtId="168" fontId="0" fillId="0" borderId="0" xfId="0" applyNumberFormat="1" applyFont="1" applyFill="1" applyBorder="1" applyAlignment="1">
      <alignment horizontal="left" wrapText="1"/>
    </xf>
    <xf numFmtId="0" fontId="0" fillId="0" borderId="0" xfId="0"/>
    <xf numFmtId="4" fontId="1" fillId="0" borderId="23" xfId="0" applyNumberFormat="1" applyFont="1" applyFill="1" applyBorder="1"/>
    <xf numFmtId="0" fontId="7" fillId="0" borderId="0" xfId="0" applyFont="1" applyFill="1" applyBorder="1" applyAlignment="1">
      <alignment horizontal="left" vertical="center"/>
    </xf>
    <xf numFmtId="0" fontId="37" fillId="0" borderId="0" xfId="5" applyFill="1"/>
    <xf numFmtId="0" fontId="0" fillId="0" borderId="0" xfId="0"/>
    <xf numFmtId="166" fontId="1" fillId="1" borderId="22" xfId="0" applyNumberFormat="1" applyFont="1" applyFill="1" applyBorder="1"/>
    <xf numFmtId="165" fontId="8" fillId="0" borderId="71" xfId="0" applyNumberFormat="1" applyFont="1" applyBorder="1"/>
    <xf numFmtId="0" fontId="0" fillId="0" borderId="0" xfId="0"/>
    <xf numFmtId="0" fontId="0" fillId="0" borderId="0" xfId="0"/>
    <xf numFmtId="0" fontId="0" fillId="0" borderId="0" xfId="0"/>
    <xf numFmtId="0" fontId="0" fillId="2" borderId="2" xfId="0" applyFont="1" applyFill="1" applyBorder="1" applyAlignment="1">
      <alignment horizontal="right" shrinkToFit="1"/>
    </xf>
    <xf numFmtId="0" fontId="0" fillId="2" borderId="15" xfId="0" applyFont="1" applyFill="1" applyBorder="1" applyAlignment="1">
      <alignment horizontal="center" shrinkToFit="1"/>
    </xf>
    <xf numFmtId="165" fontId="7" fillId="3" borderId="1" xfId="0" applyNumberFormat="1" applyFont="1" applyFill="1" applyBorder="1"/>
    <xf numFmtId="0" fontId="0" fillId="0" borderId="0" xfId="0"/>
    <xf numFmtId="170" fontId="30" fillId="0" borderId="0" xfId="0" applyNumberFormat="1" applyFont="1" applyFill="1" applyBorder="1"/>
    <xf numFmtId="3" fontId="30" fillId="0" borderId="0" xfId="0" applyNumberFormat="1" applyFont="1" applyFill="1" applyBorder="1"/>
    <xf numFmtId="0" fontId="0" fillId="0" borderId="0" xfId="0" applyAlignment="1">
      <alignment vertical="center"/>
    </xf>
    <xf numFmtId="0" fontId="0" fillId="7" borderId="0" xfId="0" applyFill="1"/>
    <xf numFmtId="0" fontId="0" fillId="0" borderId="0" xfId="0" applyFont="1" applyAlignment="1">
      <alignment vertical="center"/>
    </xf>
    <xf numFmtId="0" fontId="2" fillId="0" borderId="0" xfId="0" applyFont="1" applyAlignment="1">
      <alignment vertical="center"/>
    </xf>
    <xf numFmtId="2" fontId="0" fillId="0" borderId="0" xfId="0" applyNumberFormat="1"/>
    <xf numFmtId="4" fontId="0" fillId="13" borderId="0" xfId="0" applyNumberFormat="1" applyFill="1"/>
    <xf numFmtId="0" fontId="0" fillId="13" borderId="0" xfId="0" applyFill="1"/>
    <xf numFmtId="4" fontId="30" fillId="0" borderId="0" xfId="0" applyNumberFormat="1" applyFont="1"/>
    <xf numFmtId="0" fontId="30" fillId="0" borderId="0" xfId="0" applyFont="1"/>
    <xf numFmtId="0" fontId="0" fillId="0" borderId="0" xfId="0"/>
    <xf numFmtId="0" fontId="0" fillId="0" borderId="0" xfId="0"/>
    <xf numFmtId="0" fontId="0" fillId="0" borderId="0" xfId="0" applyBorder="1" applyAlignment="1">
      <alignment vertical="center"/>
    </xf>
    <xf numFmtId="4" fontId="0" fillId="7" borderId="0" xfId="0" applyNumberFormat="1" applyFill="1" applyBorder="1"/>
    <xf numFmtId="170" fontId="0" fillId="7" borderId="0" xfId="0" applyNumberFormat="1" applyFill="1" applyBorder="1"/>
    <xf numFmtId="0" fontId="0" fillId="0" borderId="1" xfId="0" quotePrefix="1" applyFont="1" applyBorder="1" applyAlignment="1">
      <alignment horizontal="left" vertical="center" wrapText="1"/>
    </xf>
    <xf numFmtId="172" fontId="1" fillId="0" borderId="1" xfId="0" applyNumberFormat="1" applyFont="1" applyFill="1" applyBorder="1"/>
    <xf numFmtId="3" fontId="1" fillId="3" borderId="1" xfId="0" applyNumberFormat="1" applyFont="1" applyFill="1" applyBorder="1"/>
    <xf numFmtId="3" fontId="1" fillId="0" borderId="1" xfId="0" applyNumberFormat="1" applyFont="1" applyFill="1" applyBorder="1"/>
    <xf numFmtId="0" fontId="0" fillId="0" borderId="73" xfId="0" quotePrefix="1" applyFont="1" applyBorder="1" applyAlignment="1">
      <alignment horizontal="left" vertical="center" wrapText="1"/>
    </xf>
    <xf numFmtId="165" fontId="0" fillId="0" borderId="73" xfId="0" applyNumberFormat="1" applyFont="1" applyFill="1" applyBorder="1"/>
    <xf numFmtId="165" fontId="1" fillId="3" borderId="73" xfId="0" applyNumberFormat="1" applyFont="1" applyFill="1" applyBorder="1"/>
    <xf numFmtId="0" fontId="2" fillId="0" borderId="11" xfId="0" quotePrefix="1" applyFont="1" applyBorder="1" applyAlignment="1">
      <alignment horizontal="left" vertical="center" wrapText="1"/>
    </xf>
    <xf numFmtId="165" fontId="2" fillId="0" borderId="11" xfId="0" applyNumberFormat="1" applyFont="1" applyFill="1" applyBorder="1"/>
    <xf numFmtId="165" fontId="2" fillId="3" borderId="11" xfId="0" applyNumberFormat="1" applyFont="1" applyFill="1" applyBorder="1"/>
    <xf numFmtId="0" fontId="0" fillId="2" borderId="1" xfId="0" applyFont="1" applyFill="1" applyBorder="1" applyAlignment="1">
      <alignment horizontal="center" shrinkToFit="1"/>
    </xf>
    <xf numFmtId="4" fontId="1" fillId="0" borderId="22" xfId="0" applyNumberFormat="1" applyFont="1" applyFill="1" applyBorder="1"/>
    <xf numFmtId="0" fontId="0" fillId="0" borderId="0" xfId="0" applyNumberFormat="1" applyFill="1"/>
    <xf numFmtId="3" fontId="0" fillId="0" borderId="0" xfId="0" applyNumberFormat="1" applyFill="1"/>
    <xf numFmtId="0" fontId="7" fillId="0" borderId="0" xfId="0" applyNumberFormat="1" applyFont="1" applyFill="1"/>
    <xf numFmtId="0" fontId="7" fillId="0" borderId="0" xfId="0" applyFont="1" applyFill="1"/>
    <xf numFmtId="0" fontId="7" fillId="0" borderId="0" xfId="0" applyFont="1" applyFill="1" applyAlignment="1">
      <alignment horizontal="left" indent="1"/>
    </xf>
    <xf numFmtId="0" fontId="0" fillId="0" borderId="0" xfId="0" applyFont="1" applyFill="1" applyAlignment="1">
      <alignment horizontal="left"/>
    </xf>
    <xf numFmtId="0" fontId="0" fillId="0" borderId="0" xfId="0" applyNumberFormat="1" applyFont="1" applyFill="1"/>
    <xf numFmtId="0" fontId="0" fillId="0" borderId="0" xfId="0" applyFill="1" applyAlignment="1">
      <alignment horizontal="right"/>
    </xf>
    <xf numFmtId="0" fontId="0" fillId="0" borderId="0" xfId="0"/>
    <xf numFmtId="4" fontId="1" fillId="0" borderId="2" xfId="0" applyNumberFormat="1" applyFont="1" applyFill="1" applyBorder="1"/>
    <xf numFmtId="4" fontId="1" fillId="0" borderId="20" xfId="0" applyNumberFormat="1" applyFont="1" applyFill="1" applyBorder="1"/>
    <xf numFmtId="4" fontId="1" fillId="0" borderId="33" xfId="0" applyNumberFormat="1" applyFont="1" applyFill="1" applyBorder="1"/>
    <xf numFmtId="0" fontId="0" fillId="0" borderId="0" xfId="0"/>
    <xf numFmtId="0" fontId="0" fillId="0" borderId="0" xfId="0" applyFill="1" applyAlignment="1">
      <alignment wrapText="1"/>
    </xf>
    <xf numFmtId="0" fontId="0" fillId="2" borderId="34" xfId="0" applyFill="1" applyBorder="1" applyAlignment="1">
      <alignment wrapText="1"/>
    </xf>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18" xfId="0" applyFill="1" applyBorder="1" applyAlignment="1">
      <alignment wrapText="1"/>
    </xf>
    <xf numFmtId="0" fontId="0" fillId="2" borderId="18" xfId="0" applyFill="1" applyBorder="1"/>
    <xf numFmtId="0" fontId="0" fillId="2" borderId="0" xfId="0" applyFill="1"/>
    <xf numFmtId="0" fontId="7" fillId="0" borderId="0" xfId="0" applyFont="1" applyAlignment="1">
      <alignment horizontal="left" indent="1"/>
    </xf>
    <xf numFmtId="0" fontId="0" fillId="0" borderId="0" xfId="0"/>
    <xf numFmtId="0" fontId="0" fillId="0" borderId="21" xfId="0" applyFill="1" applyBorder="1" applyAlignment="1">
      <alignment wrapText="1"/>
    </xf>
    <xf numFmtId="0" fontId="0" fillId="0" borderId="21" xfId="0" applyFill="1" applyBorder="1" applyAlignment="1">
      <alignment horizontal="center" vertical="center"/>
    </xf>
    <xf numFmtId="4" fontId="0" fillId="0" borderId="0" xfId="0" applyNumberFormat="1" applyFill="1"/>
    <xf numFmtId="4" fontId="0" fillId="0" borderId="26" xfId="0" applyNumberFormat="1" applyFill="1" applyBorder="1"/>
    <xf numFmtId="4" fontId="0" fillId="0" borderId="76" xfId="0" applyNumberFormat="1" applyFill="1" applyBorder="1"/>
    <xf numFmtId="0" fontId="2" fillId="0" borderId="0" xfId="0" applyFont="1" applyFill="1" applyAlignment="1"/>
    <xf numFmtId="0" fontId="2" fillId="0" borderId="34" xfId="0" applyFont="1" applyFill="1" applyBorder="1" applyAlignment="1"/>
    <xf numFmtId="0" fontId="2" fillId="0" borderId="34" xfId="0" applyFont="1" applyFill="1" applyBorder="1"/>
    <xf numFmtId="0" fontId="0" fillId="0" borderId="0" xfId="0" applyFill="1" applyAlignment="1">
      <alignment horizontal="left" wrapText="1" indent="1"/>
    </xf>
    <xf numFmtId="0" fontId="0" fillId="0" borderId="18" xfId="0" applyFill="1" applyBorder="1" applyAlignment="1">
      <alignment wrapText="1"/>
    </xf>
    <xf numFmtId="0" fontId="0" fillId="0" borderId="18" xfId="0" applyFill="1" applyBorder="1"/>
    <xf numFmtId="10" fontId="0" fillId="0" borderId="18" xfId="0" applyNumberFormat="1" applyFill="1" applyBorder="1"/>
    <xf numFmtId="0" fontId="7" fillId="0" borderId="0" xfId="0" applyFont="1" applyFill="1" applyAlignment="1"/>
    <xf numFmtId="10" fontId="0" fillId="0" borderId="0" xfId="0" applyNumberFormat="1" applyFill="1"/>
    <xf numFmtId="0" fontId="0" fillId="0" borderId="5" xfId="0" applyFill="1" applyBorder="1" applyAlignment="1">
      <alignment wrapText="1"/>
    </xf>
    <xf numFmtId="0" fontId="0" fillId="0" borderId="5" xfId="0" applyFill="1" applyBorder="1"/>
    <xf numFmtId="3" fontId="0" fillId="0" borderId="5" xfId="0" applyNumberFormat="1" applyFill="1" applyBorder="1"/>
    <xf numFmtId="3" fontId="0" fillId="0" borderId="5" xfId="0" applyNumberFormat="1" applyFill="1" applyBorder="1" applyAlignment="1">
      <alignment horizontal="right"/>
    </xf>
    <xf numFmtId="0" fontId="0" fillId="0" borderId="32" xfId="0" applyFill="1" applyBorder="1" applyAlignment="1">
      <alignment wrapText="1"/>
    </xf>
    <xf numFmtId="10" fontId="0" fillId="0" borderId="32" xfId="0" applyNumberFormat="1" applyFill="1" applyBorder="1"/>
    <xf numFmtId="0" fontId="0" fillId="0" borderId="0" xfId="0" applyFill="1" applyBorder="1" applyAlignment="1">
      <alignment wrapText="1"/>
    </xf>
    <xf numFmtId="10" fontId="0" fillId="0" borderId="0" xfId="0" applyNumberFormat="1" applyFill="1" applyBorder="1"/>
    <xf numFmtId="0" fontId="2" fillId="0" borderId="18" xfId="0" applyFont="1" applyFill="1" applyBorder="1" applyAlignment="1">
      <alignment wrapText="1"/>
    </xf>
    <xf numFmtId="166" fontId="2" fillId="0" borderId="18" xfId="0" applyNumberFormat="1" applyFont="1" applyFill="1" applyBorder="1"/>
    <xf numFmtId="0" fontId="0" fillId="0" borderId="15" xfId="0" applyFill="1" applyBorder="1" applyAlignment="1">
      <alignment wrapText="1"/>
    </xf>
    <xf numFmtId="0" fontId="0" fillId="0" borderId="15" xfId="0" applyFill="1" applyBorder="1" applyAlignment="1">
      <alignment horizontal="center" vertical="center"/>
    </xf>
    <xf numFmtId="4" fontId="0" fillId="0" borderId="15" xfId="0" applyNumberFormat="1" applyFill="1" applyBorder="1"/>
    <xf numFmtId="4" fontId="0" fillId="0" borderId="28" xfId="0" applyNumberFormat="1" applyFill="1" applyBorder="1"/>
    <xf numFmtId="4" fontId="0" fillId="0" borderId="33" xfId="0" applyNumberFormat="1" applyFill="1" applyBorder="1"/>
    <xf numFmtId="173" fontId="0" fillId="0" borderId="0" xfId="0" applyNumberFormat="1" applyFill="1"/>
    <xf numFmtId="173" fontId="0" fillId="0" borderId="77" xfId="0" applyNumberFormat="1" applyFill="1" applyBorder="1"/>
    <xf numFmtId="0" fontId="0" fillId="0" borderId="0" xfId="0" applyFill="1" applyAlignment="1">
      <alignment wrapText="1"/>
    </xf>
    <xf numFmtId="0" fontId="0" fillId="2" borderId="34" xfId="0" applyFill="1" applyBorder="1" applyAlignment="1">
      <alignment wrapText="1"/>
    </xf>
    <xf numFmtId="0" fontId="0" fillId="2" borderId="0" xfId="0" applyFill="1"/>
    <xf numFmtId="4" fontId="0" fillId="0" borderId="18" xfId="0" applyNumberFormat="1" applyFill="1" applyBorder="1"/>
    <xf numFmtId="4" fontId="0" fillId="0" borderId="78" xfId="0" applyNumberFormat="1" applyFill="1" applyBorder="1"/>
    <xf numFmtId="4" fontId="0" fillId="0" borderId="72" xfId="0" applyNumberFormat="1" applyFill="1" applyBorder="1"/>
    <xf numFmtId="0" fontId="37" fillId="0" borderId="0" xfId="5" applyFill="1" applyBorder="1" applyAlignment="1">
      <alignment horizontal="left" indent="1"/>
    </xf>
    <xf numFmtId="0" fontId="37" fillId="0" borderId="0" xfId="5" applyAlignment="1">
      <alignment horizontal="left" indent="1"/>
    </xf>
    <xf numFmtId="3" fontId="0" fillId="0" borderId="18" xfId="0" applyNumberFormat="1" applyFill="1" applyBorder="1"/>
    <xf numFmtId="0" fontId="0" fillId="0" borderId="1" xfId="0" applyFill="1" applyBorder="1"/>
    <xf numFmtId="166" fontId="0" fillId="0" borderId="0" xfId="0" applyNumberFormat="1" applyFill="1"/>
    <xf numFmtId="166" fontId="0" fillId="0" borderId="18" xfId="0" applyNumberFormat="1" applyFill="1" applyBorder="1"/>
    <xf numFmtId="165" fontId="0" fillId="0" borderId="0" xfId="0" applyNumberFormat="1" applyFill="1"/>
    <xf numFmtId="179" fontId="0" fillId="0" borderId="0" xfId="0" applyNumberFormat="1"/>
    <xf numFmtId="170" fontId="8" fillId="0" borderId="22" xfId="0" applyNumberFormat="1" applyFont="1" applyFill="1" applyBorder="1"/>
    <xf numFmtId="2" fontId="8" fillId="1" borderId="22" xfId="0" applyNumberFormat="1" applyFont="1" applyFill="1" applyBorder="1"/>
    <xf numFmtId="0" fontId="27" fillId="2" borderId="1" xfId="0" applyFont="1" applyFill="1" applyBorder="1" applyAlignment="1">
      <alignment horizontal="right" shrinkToFit="1"/>
    </xf>
    <xf numFmtId="10" fontId="7" fillId="0" borderId="0" xfId="4" applyNumberFormat="1" applyFont="1" applyFill="1" applyBorder="1" applyAlignment="1">
      <alignment horizontal="right"/>
    </xf>
    <xf numFmtId="10" fontId="7" fillId="0" borderId="1" xfId="4" applyNumberFormat="1" applyFont="1" applyFill="1" applyBorder="1" applyAlignment="1">
      <alignment horizontal="right"/>
    </xf>
    <xf numFmtId="0" fontId="7" fillId="2" borderId="1" xfId="4" applyFont="1" applyFill="1" applyBorder="1" applyAlignment="1">
      <alignment horizontal="left" wrapText="1" indent="1"/>
    </xf>
    <xf numFmtId="0" fontId="0" fillId="0" borderId="0" xfId="0" applyFont="1" applyAlignment="1">
      <alignment wrapText="1"/>
    </xf>
    <xf numFmtId="173" fontId="0" fillId="0" borderId="79" xfId="0" applyNumberFormat="1" applyFill="1" applyBorder="1"/>
    <xf numFmtId="0" fontId="5" fillId="2" borderId="64" xfId="1" applyFont="1" applyFill="1" applyBorder="1" applyAlignment="1">
      <alignment vertical="center"/>
    </xf>
    <xf numFmtId="0" fontId="43" fillId="0" borderId="0" xfId="0" applyFont="1"/>
    <xf numFmtId="0" fontId="44" fillId="2" borderId="15" xfId="0" applyFont="1" applyFill="1" applyBorder="1" applyAlignment="1">
      <alignment horizontal="center"/>
    </xf>
    <xf numFmtId="0" fontId="0" fillId="2" borderId="11" xfId="0" applyFont="1" applyFill="1" applyBorder="1" applyAlignment="1">
      <alignment horizontal="left" vertical="center" wrapText="1"/>
    </xf>
    <xf numFmtId="0" fontId="1" fillId="2" borderId="15" xfId="0" applyFont="1" applyFill="1" applyBorder="1" applyAlignment="1">
      <alignment horizontal="center"/>
    </xf>
    <xf numFmtId="0" fontId="42" fillId="0" borderId="0" xfId="0" applyFont="1" applyBorder="1" applyAlignment="1">
      <alignment vertical="top" wrapText="1"/>
    </xf>
    <xf numFmtId="0" fontId="0" fillId="0" borderId="0" xfId="0" applyAlignment="1">
      <alignment wrapText="1"/>
    </xf>
    <xf numFmtId="0" fontId="0" fillId="2" borderId="20" xfId="0" applyFont="1" applyFill="1" applyBorder="1" applyAlignment="1">
      <alignment horizontal="center"/>
    </xf>
    <xf numFmtId="170" fontId="1" fillId="12" borderId="1" xfId="0" applyNumberFormat="1" applyFont="1" applyFill="1" applyBorder="1"/>
    <xf numFmtId="0" fontId="0" fillId="0" borderId="0" xfId="0" applyFont="1" applyAlignment="1">
      <alignment horizontal="left" indent="1"/>
    </xf>
    <xf numFmtId="170" fontId="0" fillId="0" borderId="26" xfId="0" applyNumberFormat="1" applyBorder="1"/>
    <xf numFmtId="0" fontId="7" fillId="0" borderId="0" xfId="0" applyFont="1" applyFill="1" applyBorder="1"/>
    <xf numFmtId="0" fontId="46" fillId="2" borderId="2" xfId="0" applyFont="1" applyFill="1" applyBorder="1" applyAlignment="1">
      <alignment horizontal="right"/>
    </xf>
    <xf numFmtId="0" fontId="47" fillId="2" borderId="20" xfId="0" applyFont="1" applyFill="1" applyBorder="1" applyAlignment="1">
      <alignment horizontal="right"/>
    </xf>
    <xf numFmtId="0" fontId="44" fillId="2" borderId="15" xfId="0" applyFont="1" applyFill="1" applyBorder="1" applyAlignment="1">
      <alignment horizontal="right"/>
    </xf>
    <xf numFmtId="0" fontId="44" fillId="2" borderId="1" xfId="0" applyFont="1" applyFill="1" applyBorder="1" applyAlignment="1">
      <alignment horizontal="center"/>
    </xf>
    <xf numFmtId="14" fontId="44" fillId="2" borderId="1" xfId="0" applyNumberFormat="1" applyFont="1" applyFill="1" applyBorder="1" applyAlignment="1">
      <alignment horizontal="center"/>
    </xf>
    <xf numFmtId="165" fontId="0" fillId="0" borderId="1" xfId="0" applyNumberFormat="1" applyFont="1" applyFill="1" applyBorder="1" applyAlignment="1"/>
    <xf numFmtId="0" fontId="1" fillId="2" borderId="2" xfId="0" applyFont="1" applyFill="1" applyBorder="1" applyAlignment="1">
      <alignment horizontal="left"/>
    </xf>
    <xf numFmtId="0" fontId="44" fillId="2" borderId="2" xfId="0" applyFont="1" applyFill="1" applyBorder="1" applyAlignment="1">
      <alignment horizontal="left"/>
    </xf>
    <xf numFmtId="0" fontId="44" fillId="2" borderId="20" xfId="0" applyFont="1" applyFill="1" applyBorder="1" applyAlignment="1">
      <alignment horizontal="center"/>
    </xf>
    <xf numFmtId="0" fontId="1" fillId="2" borderId="1" xfId="0" applyFont="1" applyFill="1" applyBorder="1" applyAlignment="1">
      <alignment horizontal="left"/>
    </xf>
    <xf numFmtId="0" fontId="44" fillId="2" borderId="1" xfId="0" applyFont="1" applyFill="1" applyBorder="1" applyAlignment="1">
      <alignment horizontal="left"/>
    </xf>
    <xf numFmtId="0" fontId="0" fillId="0" borderId="0" xfId="0"/>
    <xf numFmtId="0" fontId="7" fillId="0" borderId="0" xfId="0" applyFont="1" applyAlignment="1">
      <alignment wrapText="1"/>
    </xf>
    <xf numFmtId="0" fontId="1" fillId="2" borderId="15" xfId="0" applyFont="1" applyFill="1" applyBorder="1" applyAlignment="1">
      <alignment horizontal="center"/>
    </xf>
    <xf numFmtId="0" fontId="0" fillId="0" borderId="0" xfId="0" applyFont="1" applyAlignment="1">
      <alignment wrapText="1"/>
    </xf>
    <xf numFmtId="0" fontId="0" fillId="0" borderId="0" xfId="0"/>
    <xf numFmtId="0" fontId="8" fillId="2" borderId="1" xfId="0" applyFont="1" applyFill="1" applyBorder="1" applyAlignment="1">
      <alignment horizontal="center" vertical="center"/>
    </xf>
    <xf numFmtId="0" fontId="0" fillId="2" borderId="20" xfId="0" applyFont="1" applyFill="1" applyBorder="1" applyAlignment="1">
      <alignment horizontal="center"/>
    </xf>
    <xf numFmtId="0" fontId="0" fillId="2" borderId="1" xfId="0" applyFont="1" applyFill="1" applyBorder="1" applyAlignment="1">
      <alignment horizontal="center" vertical="center"/>
    </xf>
    <xf numFmtId="0" fontId="0" fillId="0" borderId="2" xfId="0" applyFont="1" applyFill="1" applyBorder="1"/>
    <xf numFmtId="170" fontId="30" fillId="0" borderId="1" xfId="0" applyNumberFormat="1" applyFont="1" applyFill="1" applyBorder="1"/>
    <xf numFmtId="170" fontId="30" fillId="0" borderId="84" xfId="0" applyNumberFormat="1" applyFont="1" applyFill="1" applyBorder="1"/>
    <xf numFmtId="170" fontId="30" fillId="0" borderId="85" xfId="0" applyNumberFormat="1" applyFont="1" applyFill="1" applyBorder="1"/>
    <xf numFmtId="170" fontId="30" fillId="0" borderId="3" xfId="0" applyNumberFormat="1" applyFont="1" applyFill="1" applyBorder="1"/>
    <xf numFmtId="0" fontId="7" fillId="0" borderId="1" xfId="0" applyFont="1" applyBorder="1" applyAlignment="1">
      <alignment horizontal="center"/>
    </xf>
    <xf numFmtId="0" fontId="7" fillId="3" borderId="1" xfId="0" applyFont="1" applyFill="1" applyBorder="1"/>
    <xf numFmtId="173" fontId="7" fillId="0" borderId="1" xfId="0" applyNumberFormat="1" applyFont="1" applyBorder="1" applyAlignment="1">
      <alignment horizontal="right"/>
    </xf>
    <xf numFmtId="0" fontId="7" fillId="0" borderId="1" xfId="0" applyFont="1" applyBorder="1" applyAlignment="1">
      <alignment horizontal="left" wrapText="1"/>
    </xf>
    <xf numFmtId="0" fontId="0" fillId="0" borderId="0" xfId="0"/>
    <xf numFmtId="165" fontId="0" fillId="7" borderId="29" xfId="0" applyNumberFormat="1" applyFont="1" applyFill="1" applyBorder="1" applyAlignment="1">
      <alignment horizontal="right"/>
    </xf>
    <xf numFmtId="0" fontId="0" fillId="0" borderId="0" xfId="0"/>
    <xf numFmtId="173" fontId="0" fillId="0" borderId="3" xfId="0" applyNumberFormat="1" applyBorder="1"/>
    <xf numFmtId="173" fontId="7" fillId="0" borderId="1" xfId="0" applyNumberFormat="1" applyFont="1" applyBorder="1" applyAlignment="1">
      <alignment vertical="center"/>
    </xf>
    <xf numFmtId="173" fontId="0" fillId="0" borderId="1" xfId="0" applyNumberFormat="1" applyFont="1" applyBorder="1" applyAlignment="1"/>
    <xf numFmtId="0" fontId="0" fillId="0" borderId="0" xfId="0"/>
    <xf numFmtId="0" fontId="17" fillId="0" borderId="0" xfId="0" applyFont="1" applyFill="1" applyAlignment="1">
      <alignment wrapText="1"/>
    </xf>
    <xf numFmtId="0" fontId="0" fillId="0" borderId="0" xfId="0" applyAlignment="1">
      <alignment wrapText="1"/>
    </xf>
    <xf numFmtId="0" fontId="0" fillId="0" borderId="0" xfId="0" applyFill="1" applyBorder="1" applyAlignment="1">
      <alignment wrapText="1"/>
    </xf>
    <xf numFmtId="0" fontId="45" fillId="0" borderId="0" xfId="0" applyFont="1" applyFill="1" applyAlignment="1">
      <alignment wrapText="1"/>
    </xf>
    <xf numFmtId="0" fontId="0" fillId="2" borderId="29"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2" fillId="0" borderId="0" xfId="0" applyFont="1" applyFill="1" applyAlignment="1">
      <alignment wrapText="1"/>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0" fillId="2" borderId="11" xfId="0" applyFont="1" applyFill="1" applyBorder="1" applyAlignment="1">
      <alignment horizontal="left" vertic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11" xfId="0" applyFont="1" applyFill="1" applyBorder="1" applyAlignment="1">
      <alignment horizontal="center"/>
    </xf>
    <xf numFmtId="4" fontId="1" fillId="0" borderId="2" xfId="0" applyNumberFormat="1" applyFont="1" applyBorder="1"/>
    <xf numFmtId="4" fontId="1" fillId="0" borderId="20" xfId="0" applyNumberFormat="1" applyFont="1" applyBorder="1"/>
    <xf numFmtId="0" fontId="0" fillId="2" borderId="2" xfId="0" applyFont="1" applyFill="1" applyBorder="1" applyAlignment="1">
      <alignment horizontal="center"/>
    </xf>
    <xf numFmtId="0" fontId="1" fillId="2" borderId="15" xfId="0" applyFont="1" applyFill="1" applyBorder="1" applyAlignment="1">
      <alignment horizontal="center"/>
    </xf>
    <xf numFmtId="0" fontId="1" fillId="2" borderId="20" xfId="0" applyFont="1" applyFill="1" applyBorder="1" applyAlignment="1">
      <alignment horizontal="center"/>
    </xf>
    <xf numFmtId="0" fontId="0" fillId="2" borderId="50" xfId="0" applyFont="1" applyFill="1" applyBorder="1" applyAlignment="1">
      <alignment horizontal="left"/>
    </xf>
    <xf numFmtId="0" fontId="1" fillId="2" borderId="21" xfId="0" applyFont="1" applyFill="1" applyBorder="1" applyAlignment="1">
      <alignment horizontal="left"/>
    </xf>
    <xf numFmtId="0" fontId="1" fillId="2" borderId="51" xfId="0" applyFont="1" applyFill="1" applyBorder="1" applyAlignment="1">
      <alignment horizontal="left"/>
    </xf>
    <xf numFmtId="0" fontId="0" fillId="2" borderId="56" xfId="0" applyFont="1" applyFill="1" applyBorder="1" applyAlignment="1">
      <alignment horizontal="left"/>
    </xf>
    <xf numFmtId="0" fontId="1" fillId="2" borderId="0" xfId="0" applyFont="1" applyFill="1" applyBorder="1" applyAlignment="1">
      <alignment horizontal="left"/>
    </xf>
    <xf numFmtId="0" fontId="1" fillId="2" borderId="57" xfId="0" applyFont="1" applyFill="1" applyBorder="1" applyAlignment="1">
      <alignment horizontal="left"/>
    </xf>
    <xf numFmtId="3" fontId="1" fillId="0" borderId="2" xfId="0" applyNumberFormat="1" applyFont="1" applyBorder="1"/>
    <xf numFmtId="3" fontId="1" fillId="0" borderId="20" xfId="0" applyNumberFormat="1" applyFont="1" applyBorder="1"/>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Border="1" applyAlignment="1">
      <alignment wrapText="1"/>
    </xf>
    <xf numFmtId="0" fontId="0" fillId="2" borderId="64" xfId="0" applyFont="1" applyFill="1" applyBorder="1" applyAlignment="1">
      <alignment horizontal="left"/>
    </xf>
    <xf numFmtId="0" fontId="1" fillId="2" borderId="18" xfId="0" applyFont="1" applyFill="1" applyBorder="1" applyAlignment="1">
      <alignment horizontal="left"/>
    </xf>
    <xf numFmtId="0" fontId="1" fillId="2" borderId="35" xfId="0" applyFont="1" applyFill="1" applyBorder="1" applyAlignment="1">
      <alignment horizontal="left"/>
    </xf>
    <xf numFmtId="170" fontId="1" fillId="0" borderId="2" xfId="0" applyNumberFormat="1" applyFont="1" applyBorder="1"/>
    <xf numFmtId="170" fontId="1" fillId="0" borderId="15" xfId="0" applyNumberFormat="1" applyFont="1" applyBorder="1"/>
    <xf numFmtId="170" fontId="1" fillId="0" borderId="20" xfId="0" applyNumberFormat="1" applyFont="1" applyBorder="1"/>
    <xf numFmtId="0" fontId="0" fillId="0" borderId="0" xfId="0" applyFont="1" applyAlignment="1">
      <alignment wrapText="1"/>
    </xf>
    <xf numFmtId="168" fontId="0" fillId="0" borderId="70" xfId="0" applyNumberFormat="1" applyFont="1" applyFill="1" applyBorder="1" applyAlignment="1">
      <alignment horizontal="left" wrapText="1"/>
    </xf>
    <xf numFmtId="168" fontId="0" fillId="0" borderId="0" xfId="0" applyNumberFormat="1" applyFont="1" applyFill="1" applyBorder="1" applyAlignment="1">
      <alignment horizontal="left" wrapText="1"/>
    </xf>
    <xf numFmtId="0" fontId="2" fillId="0" borderId="2" xfId="0" applyFont="1" applyFill="1" applyBorder="1" applyAlignment="1">
      <alignment horizontal="right" wrapText="1"/>
    </xf>
    <xf numFmtId="0" fontId="2" fillId="0" borderId="20" xfId="0" applyFont="1" applyFill="1" applyBorder="1" applyAlignment="1">
      <alignment horizontal="right" wrapText="1"/>
    </xf>
    <xf numFmtId="0" fontId="2" fillId="0" borderId="36" xfId="0" applyFont="1" applyBorder="1" applyAlignment="1">
      <alignment horizontal="center" wrapText="1"/>
    </xf>
    <xf numFmtId="0" fontId="2" fillId="0" borderId="15" xfId="0" applyFont="1" applyBorder="1" applyAlignment="1">
      <alignment horizontal="center" wrapText="1"/>
    </xf>
    <xf numFmtId="0" fontId="2" fillId="0" borderId="37" xfId="0" applyFont="1" applyBorder="1" applyAlignment="1">
      <alignment horizontal="center" wrapText="1"/>
    </xf>
    <xf numFmtId="0" fontId="0" fillId="0" borderId="0" xfId="0" applyBorder="1" applyAlignment="1">
      <alignment wrapText="1"/>
    </xf>
    <xf numFmtId="0" fontId="0" fillId="0" borderId="34" xfId="0" applyBorder="1" applyAlignment="1">
      <alignment wrapText="1"/>
    </xf>
    <xf numFmtId="168" fontId="0" fillId="0" borderId="0" xfId="0" applyNumberFormat="1" applyAlignment="1">
      <alignment wrapText="1"/>
    </xf>
    <xf numFmtId="168" fontId="0" fillId="0" borderId="34" xfId="0" applyNumberFormat="1" applyBorder="1" applyAlignment="1">
      <alignment wrapText="1"/>
    </xf>
    <xf numFmtId="0" fontId="0" fillId="0" borderId="0" xfId="0" applyFont="1" applyBorder="1" applyAlignment="1">
      <alignment vertical="top" wrapText="1"/>
    </xf>
    <xf numFmtId="0" fontId="0" fillId="0" borderId="0" xfId="0" applyFill="1" applyAlignment="1">
      <alignment wrapText="1"/>
    </xf>
    <xf numFmtId="0" fontId="0" fillId="0" borderId="0" xfId="0" applyAlignment="1">
      <alignment horizontal="left" wrapText="1" inden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18" xfId="0" applyFont="1" applyBorder="1" applyAlignment="1">
      <alignment wrapText="1"/>
    </xf>
    <xf numFmtId="0" fontId="0" fillId="0" borderId="0" xfId="0" applyFont="1" applyFill="1" applyBorder="1" applyAlignment="1">
      <alignment vertical="center" wrapText="1"/>
    </xf>
    <xf numFmtId="0" fontId="0" fillId="0" borderId="0" xfId="0"/>
    <xf numFmtId="0" fontId="7" fillId="0" borderId="0" xfId="0" applyFont="1" applyAlignment="1">
      <alignment wrapText="1"/>
    </xf>
    <xf numFmtId="0" fontId="2" fillId="0" borderId="80" xfId="0" applyFont="1" applyBorder="1" applyAlignment="1">
      <alignment horizontal="center" wrapText="1"/>
    </xf>
    <xf numFmtId="0" fontId="2" fillId="0" borderId="32" xfId="0" applyFont="1" applyBorder="1" applyAlignment="1">
      <alignment horizontal="center" wrapText="1"/>
    </xf>
    <xf numFmtId="0" fontId="2" fillId="0" borderId="81" xfId="0" applyFont="1" applyBorder="1" applyAlignment="1">
      <alignment horizontal="center" wrapText="1"/>
    </xf>
    <xf numFmtId="0" fontId="2" fillId="0" borderId="82" xfId="0" applyFont="1" applyBorder="1" applyAlignment="1">
      <alignment horizontal="center" wrapText="1"/>
    </xf>
    <xf numFmtId="0" fontId="2" fillId="0" borderId="18" xfId="0" applyFont="1" applyBorder="1" applyAlignment="1">
      <alignment horizontal="center" wrapText="1"/>
    </xf>
    <xf numFmtId="0" fontId="2" fillId="0" borderId="83" xfId="0" applyFont="1" applyBorder="1" applyAlignment="1">
      <alignment horizontal="center" wrapText="1"/>
    </xf>
    <xf numFmtId="0" fontId="0" fillId="0" borderId="18" xfId="0"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0" fillId="0" borderId="0" xfId="0" applyFont="1" applyFill="1" applyAlignment="1">
      <alignment wrapText="1"/>
    </xf>
    <xf numFmtId="0" fontId="0" fillId="2" borderId="0" xfId="0" applyFill="1" applyBorder="1" applyAlignment="1">
      <alignment wrapText="1"/>
    </xf>
    <xf numFmtId="0" fontId="0" fillId="2" borderId="34" xfId="0" applyFill="1" applyBorder="1" applyAlignment="1">
      <alignment wrapText="1"/>
    </xf>
    <xf numFmtId="0" fontId="0" fillId="2" borderId="0" xfId="0" applyFill="1"/>
    <xf numFmtId="0" fontId="0" fillId="2" borderId="34" xfId="0" applyFill="1" applyBorder="1"/>
    <xf numFmtId="0" fontId="2" fillId="0" borderId="0" xfId="0" applyFont="1" applyAlignment="1">
      <alignment wrapText="1"/>
    </xf>
    <xf numFmtId="0" fontId="0" fillId="2" borderId="0" xfId="0" applyFill="1" applyBorder="1"/>
    <xf numFmtId="0" fontId="2" fillId="0" borderId="18" xfId="0" applyFont="1" applyBorder="1" applyAlignment="1">
      <alignment wrapText="1"/>
    </xf>
    <xf numFmtId="0" fontId="0" fillId="0" borderId="32" xfId="0" applyFill="1" applyBorder="1" applyAlignment="1">
      <alignment vertical="center" wrapText="1"/>
    </xf>
    <xf numFmtId="0" fontId="0" fillId="0" borderId="0" xfId="0" applyFill="1" applyAlignment="1">
      <alignment vertical="center" wrapText="1"/>
    </xf>
    <xf numFmtId="0" fontId="0" fillId="0" borderId="18" xfId="0" applyFill="1" applyBorder="1" applyAlignment="1">
      <alignment vertical="center" wrapText="1"/>
    </xf>
    <xf numFmtId="0" fontId="0" fillId="0" borderId="32" xfId="0" applyBorder="1" applyAlignment="1">
      <alignment wrapText="1"/>
    </xf>
    <xf numFmtId="0" fontId="0" fillId="2" borderId="2" xfId="0" applyFill="1" applyBorder="1" applyAlignment="1">
      <alignment horizontal="center" vertical="top" wrapText="1"/>
    </xf>
    <xf numFmtId="0" fontId="0" fillId="2" borderId="15" xfId="0" applyFill="1" applyBorder="1" applyAlignment="1">
      <alignment horizontal="center" vertical="top" wrapText="1"/>
    </xf>
    <xf numFmtId="0" fontId="0" fillId="2" borderId="20" xfId="0" applyFill="1" applyBorder="1" applyAlignment="1">
      <alignment horizontal="center" vertical="top" wrapText="1"/>
    </xf>
    <xf numFmtId="0" fontId="30" fillId="3" borderId="29" xfId="0" applyFont="1" applyFill="1" applyBorder="1" applyAlignment="1">
      <alignment horizontal="center" vertical="center"/>
    </xf>
    <xf numFmtId="0" fontId="30" fillId="3" borderId="16"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11"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2" fillId="2" borderId="29" xfId="0" applyFont="1" applyFill="1" applyBorder="1" applyAlignment="1">
      <alignment horizontal="left" vertical="center"/>
    </xf>
    <xf numFmtId="0" fontId="2" fillId="2" borderId="11" xfId="0" applyFont="1" applyFill="1" applyBorder="1" applyAlignment="1">
      <alignment horizontal="left" vertical="center"/>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0" xfId="0" applyFont="1" applyFill="1" applyBorder="1" applyAlignment="1">
      <alignment horizontal="center" vertical="center"/>
    </xf>
    <xf numFmtId="0" fontId="2" fillId="0" borderId="0" xfId="0" applyFont="1" applyBorder="1" applyAlignment="1">
      <alignment wrapText="1"/>
    </xf>
    <xf numFmtId="0" fontId="1" fillId="2" borderId="29" xfId="0" applyFont="1" applyFill="1" applyBorder="1" applyAlignment="1">
      <alignment vertical="center" wrapText="1"/>
    </xf>
    <xf numFmtId="0" fontId="1" fillId="2" borderId="11" xfId="0" applyFont="1" applyFill="1" applyBorder="1" applyAlignment="1">
      <alignment vertical="center" wrapText="1"/>
    </xf>
    <xf numFmtId="0" fontId="8" fillId="2" borderId="1" xfId="0" applyFont="1" applyFill="1" applyBorder="1" applyAlignment="1">
      <alignment horizontal="center" vertical="center"/>
    </xf>
    <xf numFmtId="0" fontId="0" fillId="2" borderId="11" xfId="0" applyFill="1" applyBorder="1" applyAlignment="1">
      <alignment horizontal="left" vertical="center"/>
    </xf>
    <xf numFmtId="0" fontId="0" fillId="2" borderId="1" xfId="0" applyFill="1" applyBorder="1" applyAlignment="1">
      <alignment horizontal="left" vertical="center"/>
    </xf>
    <xf numFmtId="0" fontId="0" fillId="2" borderId="41" xfId="0" applyFill="1" applyBorder="1" applyAlignment="1">
      <alignment horizontal="left" vertical="center"/>
    </xf>
    <xf numFmtId="0" fontId="0" fillId="2" borderId="1" xfId="0" applyFill="1" applyBorder="1" applyAlignment="1">
      <alignment horizontal="left" vertical="center" wrapText="1"/>
    </xf>
    <xf numFmtId="0" fontId="0" fillId="2" borderId="29" xfId="0" applyFill="1" applyBorder="1" applyAlignment="1">
      <alignment horizontal="left" vertical="center"/>
    </xf>
    <xf numFmtId="0" fontId="0" fillId="2" borderId="49" xfId="0" applyFill="1" applyBorder="1" applyAlignment="1">
      <alignment horizontal="left" vertical="center"/>
    </xf>
    <xf numFmtId="0" fontId="0" fillId="2" borderId="67" xfId="0" applyFill="1" applyBorder="1" applyAlignment="1">
      <alignment horizontal="left" vertical="center"/>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11" xfId="0" applyFill="1" applyBorder="1" applyAlignment="1">
      <alignment horizontal="left" vertical="center" wrapText="1"/>
    </xf>
    <xf numFmtId="173" fontId="0" fillId="0" borderId="29" xfId="0" applyNumberFormat="1" applyBorder="1" applyAlignment="1">
      <alignment horizontal="right" vertical="center"/>
    </xf>
    <xf numFmtId="173" fontId="0" fillId="0" borderId="30" xfId="0" applyNumberFormat="1" applyBorder="1" applyAlignment="1">
      <alignment horizontal="right" vertical="center"/>
    </xf>
    <xf numFmtId="173" fontId="0" fillId="0" borderId="11" xfId="0" applyNumberFormat="1" applyBorder="1" applyAlignment="1">
      <alignment horizontal="right" vertical="center"/>
    </xf>
    <xf numFmtId="173" fontId="0" fillId="7" borderId="29" xfId="0" applyNumberFormat="1" applyFill="1" applyBorder="1" applyAlignment="1">
      <alignment horizontal="right" vertical="center"/>
    </xf>
    <xf numFmtId="173" fontId="0" fillId="7" borderId="30" xfId="0" applyNumberFormat="1" applyFill="1" applyBorder="1" applyAlignment="1">
      <alignment horizontal="right" vertical="center"/>
    </xf>
    <xf numFmtId="173" fontId="0" fillId="7" borderId="11" xfId="0" applyNumberFormat="1" applyFill="1" applyBorder="1" applyAlignment="1">
      <alignment horizontal="right" vertical="center"/>
    </xf>
    <xf numFmtId="0" fontId="30" fillId="2" borderId="1" xfId="0" applyFont="1" applyFill="1" applyBorder="1" applyAlignment="1">
      <alignment horizontal="left" vertical="center" wrapText="1"/>
    </xf>
    <xf numFmtId="0" fontId="8" fillId="2" borderId="50" xfId="1" applyFont="1" applyFill="1" applyBorder="1" applyAlignment="1">
      <alignment vertical="center"/>
    </xf>
    <xf numFmtId="0" fontId="8" fillId="2" borderId="64" xfId="1" applyFont="1" applyFill="1" applyBorder="1" applyAlignment="1">
      <alignment vertical="center"/>
    </xf>
    <xf numFmtId="0" fontId="5" fillId="0" borderId="0" xfId="1" applyFont="1" applyFill="1" applyBorder="1" applyAlignment="1">
      <alignment vertical="center" wrapText="1"/>
    </xf>
    <xf numFmtId="0" fontId="5" fillId="0" borderId="18" xfId="1" applyFont="1" applyFill="1" applyBorder="1" applyAlignment="1">
      <alignment vertical="center" wrapText="1"/>
    </xf>
    <xf numFmtId="0" fontId="30" fillId="3" borderId="1" xfId="0" applyFont="1" applyFill="1" applyBorder="1" applyAlignment="1">
      <alignment horizontal="center" vertical="center"/>
    </xf>
    <xf numFmtId="0" fontId="30" fillId="3" borderId="8" xfId="0" applyFont="1" applyFill="1" applyBorder="1" applyAlignment="1">
      <alignment horizontal="center" vertical="center"/>
    </xf>
    <xf numFmtId="2" fontId="8" fillId="0" borderId="0" xfId="1" applyNumberFormat="1" applyFont="1" applyFill="1" applyBorder="1" applyAlignment="1">
      <alignment horizontal="left" vertical="center" wrapText="1"/>
    </xf>
    <xf numFmtId="0" fontId="8" fillId="2" borderId="50" xfId="1" applyFont="1" applyFill="1" applyBorder="1" applyAlignment="1">
      <alignment horizontal="center" vertical="center"/>
    </xf>
    <xf numFmtId="0" fontId="8" fillId="2" borderId="64" xfId="1" applyFont="1" applyFill="1" applyBorder="1" applyAlignment="1">
      <alignment horizontal="center" vertical="center"/>
    </xf>
    <xf numFmtId="0" fontId="0" fillId="0" borderId="56" xfId="0" applyFont="1" applyFill="1" applyBorder="1" applyAlignment="1">
      <alignment wrapText="1"/>
    </xf>
    <xf numFmtId="0" fontId="0" fillId="0" borderId="0" xfId="0" applyFont="1" applyBorder="1" applyAlignment="1">
      <alignment wrapText="1"/>
    </xf>
    <xf numFmtId="0" fontId="0" fillId="2" borderId="2" xfId="4" applyFont="1" applyFill="1" applyBorder="1" applyAlignment="1">
      <alignment horizontal="center" vertical="center" wrapText="1"/>
    </xf>
    <xf numFmtId="0" fontId="0" fillId="2" borderId="20" xfId="4" applyFont="1" applyFill="1" applyBorder="1" applyAlignment="1">
      <alignment horizontal="center" vertical="center" wrapText="1"/>
    </xf>
    <xf numFmtId="0" fontId="1" fillId="2" borderId="1" xfId="4" applyFont="1" applyFill="1" applyBorder="1" applyAlignment="1">
      <alignment horizontal="center"/>
    </xf>
    <xf numFmtId="0" fontId="0" fillId="2" borderId="2" xfId="4" applyFont="1" applyFill="1" applyBorder="1" applyAlignment="1">
      <alignment horizontal="center"/>
    </xf>
    <xf numFmtId="0" fontId="0" fillId="2" borderId="15" xfId="4" applyFont="1" applyFill="1" applyBorder="1" applyAlignment="1">
      <alignment horizontal="center"/>
    </xf>
    <xf numFmtId="0" fontId="0" fillId="2" borderId="20" xfId="4" applyFont="1" applyFill="1" applyBorder="1" applyAlignment="1">
      <alignment horizontal="center"/>
    </xf>
    <xf numFmtId="0" fontId="1" fillId="2" borderId="15" xfId="4" applyFont="1" applyFill="1" applyBorder="1" applyAlignment="1">
      <alignment horizontal="center"/>
    </xf>
    <xf numFmtId="0" fontId="1" fillId="2" borderId="20" xfId="4" applyFont="1" applyFill="1" applyBorder="1" applyAlignment="1">
      <alignment horizontal="center"/>
    </xf>
    <xf numFmtId="0" fontId="0" fillId="2" borderId="1" xfId="4" applyFont="1" applyFill="1" applyBorder="1" applyAlignment="1">
      <alignment horizontal="center" vertical="center" wrapText="1"/>
    </xf>
    <xf numFmtId="0" fontId="0" fillId="2" borderId="15" xfId="4" applyFont="1" applyFill="1" applyBorder="1" applyAlignment="1">
      <alignment horizontal="center" vertical="center" wrapText="1"/>
    </xf>
    <xf numFmtId="0" fontId="8" fillId="2" borderId="50" xfId="1" applyFont="1" applyFill="1" applyBorder="1" applyAlignment="1">
      <alignment vertical="center" wrapText="1"/>
    </xf>
    <xf numFmtId="0" fontId="1" fillId="2" borderId="29" xfId="4" applyFont="1" applyFill="1" applyBorder="1" applyAlignment="1">
      <alignment horizontal="center"/>
    </xf>
    <xf numFmtId="0" fontId="1" fillId="2" borderId="30" xfId="4" applyFont="1" applyFill="1" applyBorder="1" applyAlignment="1">
      <alignment horizontal="center"/>
    </xf>
    <xf numFmtId="0" fontId="1" fillId="2" borderId="11" xfId="4" applyFont="1" applyFill="1" applyBorder="1" applyAlignment="1">
      <alignment horizontal="center"/>
    </xf>
    <xf numFmtId="0" fontId="8" fillId="0" borderId="0" xfId="4" applyFont="1" applyFill="1" applyBorder="1" applyAlignment="1">
      <alignment wrapText="1"/>
    </xf>
    <xf numFmtId="0" fontId="0" fillId="2" borderId="20" xfId="0" applyFont="1" applyFill="1" applyBorder="1" applyAlignment="1">
      <alignment horizontal="center"/>
    </xf>
    <xf numFmtId="4" fontId="1" fillId="0" borderId="74" xfId="0" applyNumberFormat="1" applyFont="1" applyBorder="1"/>
    <xf numFmtId="4" fontId="1" fillId="0" borderId="75" xfId="0" applyNumberFormat="1" applyFont="1" applyBorder="1"/>
    <xf numFmtId="4" fontId="2" fillId="0" borderId="64" xfId="0" applyNumberFormat="1" applyFont="1" applyBorder="1"/>
    <xf numFmtId="4" fontId="2" fillId="0" borderId="35" xfId="0" applyNumberFormat="1" applyFont="1" applyBorder="1"/>
  </cellXfs>
  <cellStyles count="6">
    <cellStyle name="Hiperłącze" xfId="5" builtinId="8"/>
    <cellStyle name="Normalny" xfId="0" builtinId="0"/>
    <cellStyle name="Normalny 2" xfId="1"/>
    <cellStyle name="Normalny 3" xfId="4"/>
    <cellStyle name="Założenia" xfId="2"/>
    <cellStyle name="Złe 2" xfId="3"/>
  </cellStyles>
  <dxfs count="0"/>
  <tableStyles count="0" defaultTableStyle="TableStyleMedium2" defaultPivotStyle="PivotStyleLight16"/>
  <colors>
    <mruColors>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609599</xdr:colOff>
      <xdr:row>2</xdr:row>
      <xdr:rowOff>28575</xdr:rowOff>
    </xdr:from>
    <xdr:to>
      <xdr:col>38</xdr:col>
      <xdr:colOff>685800</xdr:colOff>
      <xdr:row>6</xdr:row>
      <xdr:rowOff>57150</xdr:rowOff>
    </xdr:to>
    <xdr:sp macro="" textlink="">
      <xdr:nvSpPr>
        <xdr:cNvPr id="2" name="pole tekstowe 1"/>
        <xdr:cNvSpPr txBox="1"/>
      </xdr:nvSpPr>
      <xdr:spPr>
        <a:xfrm>
          <a:off x="10582274" y="485775"/>
          <a:ext cx="6781801" cy="7905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Oszczędności czasu w przewozach ładunków należy rozpatrywać</a:t>
          </a:r>
          <a:r>
            <a:rPr lang="pl-PL" sz="1100" baseline="0">
              <a:solidFill>
                <a:schemeClr val="dk1"/>
              </a:solidFill>
              <a:effectLst/>
              <a:latin typeface="+mn-lt"/>
              <a:ea typeface="+mn-ea"/>
              <a:cs typeface="+mn-cs"/>
            </a:rPr>
            <a:t> w dwóch aspektach</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Składnik kosztu transportu w koszcie czasu, dotyczący oszczędności czasu personelu, szybszego obrotu aktywów</a:t>
          </a:r>
          <a:r>
            <a:rPr lang="pl-PL" sz="1100" baseline="0">
              <a:solidFill>
                <a:schemeClr val="dk1"/>
              </a:solidFill>
              <a:effectLst/>
              <a:latin typeface="+mn-lt"/>
              <a:ea typeface="+mn-ea"/>
              <a:cs typeface="+mn-cs"/>
            </a:rPr>
            <a:t> (wykorzystywanych do transportu ładunków) oraz związane z tym koszty ogólne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Składnik kosztu ładunku w koszcie czasu, dotyczący kosztu czasu samych ładunków.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371475</xdr:colOff>
      <xdr:row>2</xdr:row>
      <xdr:rowOff>76200</xdr:rowOff>
    </xdr:from>
    <xdr:to>
      <xdr:col>28</xdr:col>
      <xdr:colOff>361950</xdr:colOff>
      <xdr:row>10</xdr:row>
      <xdr:rowOff>190499</xdr:rowOff>
    </xdr:to>
    <xdr:sp macro="" textlink="">
      <xdr:nvSpPr>
        <xdr:cNvPr id="2" name="pole tekstowe 1"/>
        <xdr:cNvSpPr txBox="1"/>
      </xdr:nvSpPr>
      <xdr:spPr>
        <a:xfrm>
          <a:off x="6610350" y="533400"/>
          <a:ext cx="8134350" cy="163829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Jest to zgodne z dotychczasowym podejściem w NK 2015. </a:t>
          </a:r>
        </a:p>
        <a:p>
          <a:r>
            <a:rPr lang="pl-PL" sz="1100">
              <a:solidFill>
                <a:schemeClr val="dk1"/>
              </a:solidFill>
              <a:effectLst/>
              <a:latin typeface="+mn-lt"/>
              <a:ea typeface="+mn-ea"/>
              <a:cs typeface="+mn-cs"/>
            </a:rPr>
            <a:t>R</a:t>
          </a:r>
          <a:r>
            <a:rPr lang="en-GB" sz="1100">
              <a:solidFill>
                <a:schemeClr val="dk1"/>
              </a:solidFill>
              <a:effectLst/>
              <a:latin typeface="+mn-lt"/>
              <a:ea typeface="+mn-ea"/>
              <a:cs typeface="+mn-cs"/>
            </a:rPr>
            <a:t>óżnice między stawkami krańcowymi i</a:t>
          </a:r>
          <a:r>
            <a:rPr lang="pl-PL" sz="1100">
              <a:solidFill>
                <a:schemeClr val="dk1"/>
              </a:solidFill>
              <a:effectLst/>
              <a:latin typeface="+mn-lt"/>
              <a:ea typeface="+mn-ea"/>
              <a:cs typeface="+mn-cs"/>
            </a:rPr>
            <a:t> </a:t>
          </a:r>
          <a:r>
            <a:rPr lang="en-GB" sz="1100">
              <a:solidFill>
                <a:schemeClr val="dk1"/>
              </a:solidFill>
              <a:effectLst/>
              <a:latin typeface="+mn-lt"/>
              <a:ea typeface="+mn-ea"/>
              <a:cs typeface="+mn-cs"/>
            </a:rPr>
            <a:t>średnimi oraz uzasadnienie dla stosowania krańcowych przedstawia </a:t>
          </a:r>
          <a:r>
            <a:rPr lang="pl-PL" sz="1100">
              <a:solidFill>
                <a:schemeClr val="dk1"/>
              </a:solidFill>
              <a:effectLst/>
              <a:latin typeface="+mn-lt"/>
              <a:ea typeface="+mn-ea"/>
              <a:cs typeface="+mn-cs"/>
            </a:rPr>
            <a:t>Handbook on the External Costs of Transport, EC (January 2019), pkt 3.4 Marginal accident costs, str. 39: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accident costs are only calculated for road transport. For all other modes of transport the marginal accident costs are considered to be equal to the average costs. This is because the other modes are scheduled services, this implies that the accident risk is less dependent on the amount of traffic for these modes.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 marginal accident costs represent the extra costs that adding an extra vehicle to the traffic flow brings. The main input values for marginal accident costs are the accident risk per vehicle type and road type, the costs per casualty and the risk elasticity. The costs per casualty are the same as those used for the calculation of total and average costs.</a:t>
          </a:r>
          <a:r>
            <a:rPr lang="pl-PL" sz="1100">
              <a:solidFill>
                <a:schemeClr val="dk1"/>
              </a:solidFill>
              <a:effectLst/>
              <a:latin typeface="+mn-lt"/>
              <a:ea typeface="+mn-ea"/>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19050</xdr:colOff>
      <xdr:row>21</xdr:row>
      <xdr:rowOff>9524</xdr:rowOff>
    </xdr:from>
    <xdr:to>
      <xdr:col>19</xdr:col>
      <xdr:colOff>581025</xdr:colOff>
      <xdr:row>26</xdr:row>
      <xdr:rowOff>180975</xdr:rowOff>
    </xdr:to>
    <xdr:sp macro="" textlink="">
      <xdr:nvSpPr>
        <xdr:cNvPr id="2" name="pole tekstowe 1"/>
        <xdr:cNvSpPr txBox="1"/>
      </xdr:nvSpPr>
      <xdr:spPr>
        <a:xfrm>
          <a:off x="2676525" y="4086224"/>
          <a:ext cx="5857875" cy="112395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0" i="0" u="none" strike="noStrike" baseline="0" smtClean="0">
              <a:solidFill>
                <a:schemeClr val="dk1"/>
              </a:solidFill>
              <a:latin typeface="+mn-lt"/>
              <a:ea typeface="+mn-ea"/>
              <a:cs typeface="+mn-cs"/>
            </a:rPr>
            <a:t>[1] Powyższe koszty jednostkowe obejmują wszystkie działania związane z bieżącym i prewencyjnym utrzymaniem wszystkich elementów infrastruktury drogowej (m.in. nawierzchni, węzłów i innych obiektów, dróg serwisowych, odwodnienia, wyposażenia BRD, ekranów akustycznych itd.).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[2] </a:t>
          </a:r>
          <a:r>
            <a:rPr lang="pl-PL" sz="1100" b="0" i="0" u="none" strike="noStrike" baseline="0" smtClean="0">
              <a:solidFill>
                <a:schemeClr val="dk1"/>
              </a:solidFill>
              <a:effectLst/>
              <a:latin typeface="+mn-lt"/>
              <a:ea typeface="+mn-ea"/>
              <a:cs typeface="+mn-cs"/>
            </a:rPr>
            <a:t>W </a:t>
          </a:r>
          <a:r>
            <a:rPr lang="pl-PL" sz="1100" b="0" i="0" u="none" strike="noStrike" baseline="0" smtClean="0">
              <a:solidFill>
                <a:schemeClr val="dk1"/>
              </a:solidFill>
              <a:latin typeface="+mn-lt"/>
              <a:ea typeface="+mn-ea"/>
              <a:cs typeface="+mn-cs"/>
            </a:rPr>
            <a:t>przypadku innych niż wymienione przekroje poprzeczne (także dla dróg niższych klas) można zastosować korektę pro-rata odzwierciedlającą różnicę w liczbie pasów ruchu (lub szerokości). </a:t>
          </a:r>
        </a:p>
      </xdr:txBody>
    </xdr:sp>
    <xdr:clientData/>
  </xdr:twoCellAnchor>
  <xdr:twoCellAnchor>
    <xdr:from>
      <xdr:col>12</xdr:col>
      <xdr:colOff>19050</xdr:colOff>
      <xdr:row>45</xdr:row>
      <xdr:rowOff>19051</xdr:rowOff>
    </xdr:from>
    <xdr:to>
      <xdr:col>19</xdr:col>
      <xdr:colOff>581025</xdr:colOff>
      <xdr:row>50</xdr:row>
      <xdr:rowOff>19051</xdr:rowOff>
    </xdr:to>
    <xdr:sp macro="" textlink="">
      <xdr:nvSpPr>
        <xdr:cNvPr id="3" name="pole tekstowe 2"/>
        <xdr:cNvSpPr txBox="1"/>
      </xdr:nvSpPr>
      <xdr:spPr>
        <a:xfrm>
          <a:off x="2676525" y="8667751"/>
          <a:ext cx="5857875" cy="9525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b="0" i="0" u="none" strike="noStrike" baseline="0" smtClean="0">
              <a:solidFill>
                <a:schemeClr val="dk1"/>
              </a:solidFill>
              <a:latin typeface="+mn-lt"/>
              <a:ea typeface="+mn-ea"/>
              <a:cs typeface="+mn-cs"/>
            </a:rPr>
            <a:t>[1]</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Powyższe koszty jednostkowe obejmują wszystkie działania związane z</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okresowym utrzymaniem wszystkich elementów infrastruktury drogowej (m.in. nawierzchni, węzłów i</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innych obiektów, dróg serwisowych, odwodnienia, wyposażenia BRD, ekranów akustycznych itd.).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[2]</a:t>
          </a:r>
          <a:r>
            <a:rPr lang="pl-PL" sz="1100" b="0" i="0" baseline="0">
              <a:solidFill>
                <a:schemeClr val="dk1"/>
              </a:solidFill>
              <a:effectLst/>
              <a:latin typeface="+mn-lt"/>
              <a:ea typeface="+mn-ea"/>
              <a:cs typeface="+mn-cs"/>
            </a:rPr>
            <a:t> </a:t>
          </a:r>
          <a:r>
            <a:rPr lang="pl-PL" sz="1100" b="0" i="0" u="none" strike="noStrike" baseline="0" smtClean="0">
              <a:solidFill>
                <a:schemeClr val="dk1"/>
              </a:solidFill>
              <a:effectLst/>
              <a:latin typeface="+mn-lt"/>
              <a:ea typeface="+mn-ea"/>
              <a:cs typeface="+mn-cs"/>
            </a:rPr>
            <a:t>W</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przypadku innych niż wymienione przekroje poprzeczne (także dla dróg niższych klas) można zastosować korektę pro-rata odzwierciedlającą różnicę w</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liczbie pasów ruchu (lub szerokości). </a:t>
          </a:r>
        </a:p>
      </xdr:txBody>
    </xdr:sp>
    <xdr:clientData/>
  </xdr:twoCellAnchor>
  <xdr:twoCellAnchor>
    <xdr:from>
      <xdr:col>12</xdr:col>
      <xdr:colOff>19050</xdr:colOff>
      <xdr:row>27</xdr:row>
      <xdr:rowOff>19050</xdr:rowOff>
    </xdr:from>
    <xdr:to>
      <xdr:col>19</xdr:col>
      <xdr:colOff>581025</xdr:colOff>
      <xdr:row>33</xdr:row>
      <xdr:rowOff>171450</xdr:rowOff>
    </xdr:to>
    <xdr:sp macro="" textlink="">
      <xdr:nvSpPr>
        <xdr:cNvPr id="4" name="pole tekstowe 3"/>
        <xdr:cNvSpPr txBox="1"/>
      </xdr:nvSpPr>
      <xdr:spPr>
        <a:xfrm>
          <a:off x="2676525" y="5238750"/>
          <a:ext cx="585787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Zakłada się, że przedstawione na niniejszej zakładce koszty jednostkowe eksploatacji i utrzymania bieżącego jak również okresowego infrastruktury drogowej oraz elektronicznego systemu poboru opłat drogowych będą stałe w czasie w ujęciu realnym (brak realnego wzrostu). Ewentualny wzrost nominalny z tytułu np. wzrostu kosztów pracy oraz kosztów energii będzie rekompensowany wzrostem wydajności (np. z tytułu stosowania nowych technologii). Należy jedynie uwzględnić indeksację nominalną wskaźnikiem polskiej inflacji cen produkcji budowlano-montażowej do poziomu cenowego właściwego dla roku bazowego.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1</xdr:row>
      <xdr:rowOff>47626</xdr:rowOff>
    </xdr:from>
    <xdr:to>
      <xdr:col>8</xdr:col>
      <xdr:colOff>2362200</xdr:colOff>
      <xdr:row>8</xdr:row>
      <xdr:rowOff>9526</xdr:rowOff>
    </xdr:to>
    <xdr:sp macro="" textlink="">
      <xdr:nvSpPr>
        <xdr:cNvPr id="2" name="pole tekstowe 1"/>
        <xdr:cNvSpPr txBox="1"/>
      </xdr:nvSpPr>
      <xdr:spPr>
        <a:xfrm>
          <a:off x="38100" y="352426"/>
          <a:ext cx="1151572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a:t>Niniejsza zakładka prezentuje sposób kalkulacji wolumenu emisji gazów</a:t>
          </a:r>
          <a:r>
            <a:rPr lang="pl-PL" baseline="0"/>
            <a:t> cieplarnianych (CO</a:t>
          </a:r>
          <a:r>
            <a:rPr lang="pl-PL" baseline="-25000"/>
            <a:t>2</a:t>
          </a:r>
          <a:r>
            <a:rPr lang="pl-PL" baseline="0"/>
            <a:t>) i </a:t>
          </a:r>
          <a:r>
            <a:rPr lang="pl-PL" sz="1100">
              <a:solidFill>
                <a:schemeClr val="dk1"/>
              </a:solidFill>
              <a:effectLst/>
              <a:latin typeface="+mn-lt"/>
              <a:ea typeface="+mn-ea"/>
              <a:cs typeface="+mn-cs"/>
            </a:rPr>
            <a:t>zanieczyszczeń powietrza </a:t>
          </a:r>
          <a:r>
            <a:rPr lang="pl-PL"/>
            <a:t>dla autobusów i innych środków transportu publicznego na podstawie zużycia paliwa lub energii elektrycznej. Kalkulacja taka powinna być stosowana, gdy środki transportu o różnym napędzie są porównywane między sobą (np. autobusy z silnikiem Diesla tzn. na olej napędowy ON, CNG, LPG i elektryczne). Dane dotyczące wskaźników emisyjności dla poszczególnych norm EURO stanowią maksymalne emisje dla danej normy zgodnie ze wskazanymi aktami prawnymi. </a:t>
          </a:r>
        </a:p>
        <a:p>
          <a:r>
            <a:rPr lang="pl-PL"/>
            <a:t>Na zakładce należy w pola żółte wpisać dane specyficzne dla analizowanego taboru, natomiast w polach szarych pojawiają się ostateczne wyniki (emisja w gramach na km). Prosimy o niezmienianie pozostałych pól, ponieważ może to spowodować błędne działanie obliczeń. </a:t>
          </a:r>
        </a:p>
        <a:p>
          <a:r>
            <a:rPr lang="pl-PL"/>
            <a:t>Do obliczonych na niniejszej zakładce wolumenów emisji należy stosować koszty jednostkowe CO</a:t>
          </a:r>
          <a:r>
            <a:rPr lang="pl-PL" baseline="-25000"/>
            <a:t>2</a:t>
          </a:r>
          <a:r>
            <a:rPr lang="pl-PL"/>
            <a:t> według</a:t>
          </a:r>
          <a:r>
            <a:rPr lang="pl-PL" baseline="0"/>
            <a:t> projekcji na zakładce "</a:t>
          </a:r>
          <a:r>
            <a:rPr lang="en-GB" sz="1100">
              <a:solidFill>
                <a:schemeClr val="dk1"/>
              </a:solidFill>
              <a:effectLst/>
              <a:latin typeface="+mn-lt"/>
              <a:ea typeface="+mn-ea"/>
              <a:cs typeface="+mn-cs"/>
            </a:rPr>
            <a:t>Zmiany klimatu (GHG) samochody</a:t>
          </a:r>
          <a:r>
            <a:rPr lang="pl-PL" baseline="0"/>
            <a:t>" oraz koszty jednostkowe wyszczególnionych tu zanieczyszczeń powietrza według projekcji na zakładce "</a:t>
          </a:r>
          <a:r>
            <a:rPr lang="en-GB" sz="1100">
              <a:solidFill>
                <a:schemeClr val="dk1"/>
              </a:solidFill>
              <a:effectLst/>
              <a:latin typeface="+mn-lt"/>
              <a:ea typeface="+mn-ea"/>
              <a:cs typeface="+mn-cs"/>
            </a:rPr>
            <a:t>Zanieczyszczenia transp.ląd</a:t>
          </a:r>
          <a:r>
            <a:rPr lang="pl-PL" baseline="0"/>
            <a:t>". </a:t>
          </a:r>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192</xdr:row>
      <xdr:rowOff>1</xdr:rowOff>
    </xdr:from>
    <xdr:to>
      <xdr:col>26</xdr:col>
      <xdr:colOff>581025</xdr:colOff>
      <xdr:row>196</xdr:row>
      <xdr:rowOff>28575</xdr:rowOff>
    </xdr:to>
    <xdr:sp macro="" textlink="">
      <xdr:nvSpPr>
        <xdr:cNvPr id="3" name="pole tekstowe 2"/>
        <xdr:cNvSpPr txBox="1"/>
      </xdr:nvSpPr>
      <xdr:spPr>
        <a:xfrm>
          <a:off x="2676525" y="11925301"/>
          <a:ext cx="9334500" cy="79057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koszty jednostkowe dla LV należy przyjąć dla samochodów osobowych (SO) i samochodów dostawczych (SD); </a:t>
          </a:r>
        </a:p>
        <a:p>
          <a:r>
            <a:rPr lang="pl-PL" sz="1100">
              <a:solidFill>
                <a:schemeClr val="dk1"/>
              </a:solidFill>
              <a:effectLst/>
              <a:latin typeface="+mn-lt"/>
              <a:ea typeface="+mn-ea"/>
              <a:cs typeface="+mn-cs"/>
            </a:rPr>
            <a:t>- koszty jednostkowe dla HGV należy przyjąć dla samochodów ciężarowych bez przyczep (SC), samochodów ciężarowych z przyczepami (SCp) oraz autobusów (A).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9525</xdr:colOff>
      <xdr:row>29</xdr:row>
      <xdr:rowOff>9525</xdr:rowOff>
    </xdr:from>
    <xdr:to>
      <xdr:col>29</xdr:col>
      <xdr:colOff>0</xdr:colOff>
      <xdr:row>34</xdr:row>
      <xdr:rowOff>219075</xdr:rowOff>
    </xdr:to>
    <xdr:sp macro="" textlink="">
      <xdr:nvSpPr>
        <xdr:cNvPr id="3" name="pole tekstowe 2"/>
        <xdr:cNvSpPr txBox="1"/>
      </xdr:nvSpPr>
      <xdr:spPr>
        <a:xfrm>
          <a:off x="6257925" y="5610225"/>
          <a:ext cx="7000875" cy="11620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Emisje i 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i koszty jednostkowe dla LV należy przyjąć dla samochodów osobowych (SO) i samochodów dostawczych (SD); </a:t>
          </a:r>
        </a:p>
        <a:p>
          <a:r>
            <a:rPr lang="pl-PL" sz="1100">
              <a:solidFill>
                <a:schemeClr val="dk1"/>
              </a:solidFill>
              <a:effectLst/>
              <a:latin typeface="+mn-lt"/>
              <a:ea typeface="+mn-ea"/>
              <a:cs typeface="+mn-cs"/>
            </a:rPr>
            <a:t>- emisje i koszty jednostkowe dla HGV należy przyjąć dla samochodów ciężarowych bez przyczep (SC), samochodów ciężarowych z przyczepami (SCp) oraz autobusów (A). </a:t>
          </a:r>
        </a:p>
      </xdr:txBody>
    </xdr:sp>
    <xdr:clientData/>
  </xdr:twoCellAnchor>
  <xdr:twoCellAnchor>
    <xdr:from>
      <xdr:col>22</xdr:col>
      <xdr:colOff>419100</xdr:colOff>
      <xdr:row>79</xdr:row>
      <xdr:rowOff>219075</xdr:rowOff>
    </xdr:from>
    <xdr:to>
      <xdr:col>31</xdr:col>
      <xdr:colOff>0</xdr:colOff>
      <xdr:row>89</xdr:row>
      <xdr:rowOff>171450</xdr:rowOff>
    </xdr:to>
    <xdr:sp macro="" textlink="">
      <xdr:nvSpPr>
        <xdr:cNvPr id="4" name="pole tekstowe 3"/>
        <xdr:cNvSpPr txBox="1"/>
      </xdr:nvSpPr>
      <xdr:spPr>
        <a:xfrm>
          <a:off x="8496300" y="15563850"/>
          <a:ext cx="5981700" cy="20097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Stawka jednostkowa „shadow cost of</a:t>
          </a:r>
          <a:r>
            <a:rPr lang="pl-PL" sz="1100" baseline="0">
              <a:solidFill>
                <a:schemeClr val="dk1"/>
              </a:solidFill>
              <a:effectLst/>
              <a:latin typeface="+mn-lt"/>
              <a:ea typeface="+mn-ea"/>
              <a:cs typeface="+mn-cs"/>
            </a:rPr>
            <a:t> carbon</a:t>
          </a:r>
          <a:r>
            <a:rPr lang="pl-PL" sz="1100">
              <a:solidFill>
                <a:schemeClr val="dk1"/>
              </a:solidFill>
              <a:effectLst/>
              <a:latin typeface="+mn-lt"/>
              <a:ea typeface="+mn-ea"/>
              <a:cs typeface="+mn-cs"/>
            </a:rPr>
            <a:t>” PLN/t CO</a:t>
          </a:r>
          <a:r>
            <a:rPr lang="pl-PL" sz="1100" baseline="-25000">
              <a:solidFill>
                <a:schemeClr val="dk1"/>
              </a:solidFill>
              <a:effectLst/>
              <a:latin typeface="+mn-lt"/>
              <a:ea typeface="+mn-ea"/>
              <a:cs typeface="+mn-cs"/>
            </a:rPr>
            <a:t>2</a:t>
          </a:r>
          <a:r>
            <a:rPr lang="pl-PL" sz="1100">
              <a:solidFill>
                <a:schemeClr val="dk1"/>
              </a:solidFill>
              <a:effectLst/>
              <a:latin typeface="+mn-lt"/>
              <a:ea typeface="+mn-ea"/>
              <a:cs typeface="+mn-cs"/>
            </a:rPr>
            <a:t>e określona na podstawie EIB Group Climate Bank Roadmap (2020) (Annex 5. Aligned carbon prices, str. 121):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...it is proposed to align the Bank’s shadow cost of carbon to reflect the best available evidence on the cost of meeting the Paris temperature targets. It is therefore proposed to anchor the EIB shadow cost in median values from the review of the IAMC database, as shown in Figure A9. Rounding out the median estimates in 2020, 2030 and 2050, and linearly interpolating for years in between gives the values in Table A6.</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are values measured in real terms – i.e. in 2016 euros.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figures are only used to estimate the value of net carbon savings or emissions. Demand forecasts and other related aspects of economic analysis are driven by actual market price signals, influenced by the full range of supportive policies.</a:t>
          </a:r>
          <a:r>
            <a:rPr lang="pl-PL" sz="1100">
              <a:solidFill>
                <a:schemeClr val="dk1"/>
              </a:solidFill>
              <a:effectLst/>
              <a:latin typeface="+mn-lt"/>
              <a:ea typeface="+mn-ea"/>
              <a:cs typeface="+mn-cs"/>
            </a:rPr>
            <a:t>” </a:t>
          </a:r>
          <a:endParaRPr lang="pl-PL" sz="1100"/>
        </a:p>
      </xdr:txBody>
    </xdr:sp>
    <xdr:clientData/>
  </xdr:twoCellAnchor>
  <xdr:twoCellAnchor>
    <xdr:from>
      <xdr:col>15</xdr:col>
      <xdr:colOff>28574</xdr:colOff>
      <xdr:row>120</xdr:row>
      <xdr:rowOff>133351</xdr:rowOff>
    </xdr:from>
    <xdr:to>
      <xdr:col>26</xdr:col>
      <xdr:colOff>590550</xdr:colOff>
      <xdr:row>133</xdr:row>
      <xdr:rowOff>152400</xdr:rowOff>
    </xdr:to>
    <xdr:sp macro="" textlink="">
      <xdr:nvSpPr>
        <xdr:cNvPr id="5" name="pole tekstowe 4"/>
        <xdr:cNvSpPr txBox="1"/>
      </xdr:nvSpPr>
      <xdr:spPr>
        <a:xfrm>
          <a:off x="2686049" y="24812626"/>
          <a:ext cx="9334501" cy="249554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9525</xdr:colOff>
      <xdr:row>69</xdr:row>
      <xdr:rowOff>161925</xdr:rowOff>
    </xdr:from>
    <xdr:to>
      <xdr:col>35</xdr:col>
      <xdr:colOff>533401</xdr:colOff>
      <xdr:row>71</xdr:row>
      <xdr:rowOff>209550</xdr:rowOff>
    </xdr:to>
    <xdr:sp macro="" textlink="">
      <xdr:nvSpPr>
        <xdr:cNvPr id="5" name="pole tekstowe 4"/>
        <xdr:cNvSpPr txBox="1"/>
      </xdr:nvSpPr>
      <xdr:spPr>
        <a:xfrm>
          <a:off x="6991350" y="17097375"/>
          <a:ext cx="8448676" cy="6286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Nie</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są uwzględnione przyszłe zmiany emisyjności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spalinowymi ani energochłonności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elektrycznymi.  </a:t>
          </a:r>
        </a:p>
        <a:p>
          <a:r>
            <a:rPr lang="pl-PL" sz="1100">
              <a:solidFill>
                <a:schemeClr val="dk1"/>
              </a:solidFill>
              <a:effectLst/>
              <a:latin typeface="+mn-lt"/>
              <a:ea typeface="+mn-ea"/>
              <a:cs typeface="+mn-cs"/>
            </a:rPr>
            <a:t>Dla potrzeb analizy projektów przedstawianych do oceny przez CUPT należy przyjąć konserwatywne założenie, że wskaźniki emisyjności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spalinowymi oraz energochłonności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elektrycznymi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Polsce pozostaną na wyjściowym poziomie (2019). </a:t>
          </a:r>
        </a:p>
      </xdr:txBody>
    </xdr:sp>
    <xdr:clientData/>
  </xdr:twoCellAnchor>
  <xdr:twoCellAnchor>
    <xdr:from>
      <xdr:col>15</xdr:col>
      <xdr:colOff>28575</xdr:colOff>
      <xdr:row>13</xdr:row>
      <xdr:rowOff>76200</xdr:rowOff>
    </xdr:from>
    <xdr:to>
      <xdr:col>30</xdr:col>
      <xdr:colOff>161926</xdr:colOff>
      <xdr:row>26</xdr:row>
      <xdr:rowOff>104775</xdr:rowOff>
    </xdr:to>
    <xdr:sp macro="" textlink="">
      <xdr:nvSpPr>
        <xdr:cNvPr id="3" name="pole tekstowe 2"/>
        <xdr:cNvSpPr txBox="1"/>
      </xdr:nvSpPr>
      <xdr:spPr>
        <a:xfrm>
          <a:off x="2686050" y="3352800"/>
          <a:ext cx="9334501" cy="25050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247650</xdr:colOff>
      <xdr:row>42</xdr:row>
      <xdr:rowOff>0</xdr:rowOff>
    </xdr:from>
    <xdr:to>
      <xdr:col>31</xdr:col>
      <xdr:colOff>228600</xdr:colOff>
      <xdr:row>47</xdr:row>
      <xdr:rowOff>38100</xdr:rowOff>
    </xdr:to>
    <xdr:sp macro="" textlink="">
      <xdr:nvSpPr>
        <xdr:cNvPr id="2" name="pole tekstowe 1"/>
        <xdr:cNvSpPr txBox="1"/>
      </xdr:nvSpPr>
      <xdr:spPr>
        <a:xfrm>
          <a:off x="9305925" y="7886700"/>
          <a:ext cx="5467350" cy="9906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twoCellAnchor>
    <xdr:from>
      <xdr:col>19</xdr:col>
      <xdr:colOff>0</xdr:colOff>
      <xdr:row>98</xdr:row>
      <xdr:rowOff>0</xdr:rowOff>
    </xdr:from>
    <xdr:to>
      <xdr:col>30</xdr:col>
      <xdr:colOff>361949</xdr:colOff>
      <xdr:row>101</xdr:row>
      <xdr:rowOff>171450</xdr:rowOff>
    </xdr:to>
    <xdr:sp macro="" textlink="">
      <xdr:nvSpPr>
        <xdr:cNvPr id="3" name="pole tekstowe 2"/>
        <xdr:cNvSpPr txBox="1"/>
      </xdr:nvSpPr>
      <xdr:spPr>
        <a:xfrm>
          <a:off x="6315075" y="19897725"/>
          <a:ext cx="7981949" cy="11239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zależności od dwóch kategorii pojazdów: samochody lekkie LV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samochody ciężarowe HGV.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przypadku, jeżeli rezultaty prognozy ruchu zostały przedstawione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podziale na standardowe 5</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kategorii pojazdów, to powinny one zostać potraktowane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sposób następujący: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LV należy przyjąć dla samochodów osobowych (SO)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samochodów dostawczych (SD);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HGV należy przyjąć dla samochodów ciężarowych bez przyczep (SC), samochodów ciężarowych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przyczepami (SCp) oraz autobusów (A).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190500</xdr:colOff>
      <xdr:row>7</xdr:row>
      <xdr:rowOff>28575</xdr:rowOff>
    </xdr:from>
    <xdr:to>
      <xdr:col>31</xdr:col>
      <xdr:colOff>171450</xdr:colOff>
      <xdr:row>8</xdr:row>
      <xdr:rowOff>428625</xdr:rowOff>
    </xdr:to>
    <xdr:sp macro="" textlink="">
      <xdr:nvSpPr>
        <xdr:cNvPr id="2" name="pole tekstowe 1"/>
        <xdr:cNvSpPr txBox="1"/>
      </xdr:nvSpPr>
      <xdr:spPr>
        <a:xfrm>
          <a:off x="10734675" y="1819275"/>
          <a:ext cx="5467350" cy="9715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xdr:colOff>
      <xdr:row>52</xdr:row>
      <xdr:rowOff>180975</xdr:rowOff>
    </xdr:from>
    <xdr:to>
      <xdr:col>15</xdr:col>
      <xdr:colOff>676275</xdr:colOff>
      <xdr:row>60</xdr:row>
      <xdr:rowOff>28575</xdr:rowOff>
    </xdr:to>
    <xdr:sp macro="" textlink="">
      <xdr:nvSpPr>
        <xdr:cNvPr id="2" name="pole tekstowe 1"/>
        <xdr:cNvSpPr txBox="1"/>
      </xdr:nvSpPr>
      <xdr:spPr>
        <a:xfrm>
          <a:off x="2038350" y="4333875"/>
          <a:ext cx="4533900"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Koszty krańcowe są dostępne w opracowaniu źródłowym dla bardzo wielu szczegółowo określonych kategorii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różnych środków transportu (pkt 4.4 Marginal air pollution costs for selected cases). Cyt. Handbook on the External Costs of Transport, EC (January 2019), str. 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161925</xdr:colOff>
      <xdr:row>26</xdr:row>
      <xdr:rowOff>9526</xdr:rowOff>
    </xdr:from>
    <xdr:to>
      <xdr:col>33</xdr:col>
      <xdr:colOff>419100</xdr:colOff>
      <xdr:row>34</xdr:row>
      <xdr:rowOff>123826</xdr:rowOff>
    </xdr:to>
    <xdr:sp macro="" textlink="">
      <xdr:nvSpPr>
        <xdr:cNvPr id="2" name="pole tekstowe 1"/>
        <xdr:cNvSpPr txBox="1"/>
      </xdr:nvSpPr>
      <xdr:spPr>
        <a:xfrm>
          <a:off x="10525125" y="3895726"/>
          <a:ext cx="5591175"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(nie średnie). </a:t>
          </a:r>
        </a:p>
        <a:p>
          <a:r>
            <a:rPr lang="pl-PL" sz="1100">
              <a:solidFill>
                <a:schemeClr val="dk1"/>
              </a:solidFill>
              <a:effectLst/>
              <a:latin typeface="+mn-lt"/>
              <a:ea typeface="+mn-ea"/>
              <a:cs typeface="+mn-cs"/>
            </a:rPr>
            <a:t>Koszty krańcowe są dostępne w opracowaniu źródłowym tylko w ujęciu zdezagregowanym i tylko dla UE-28 a nie dla poszczególnych krajów (pkt 6.4 Marginal noise costs). </a:t>
          </a:r>
        </a:p>
        <a:p>
          <a:r>
            <a:rPr lang="en-GB" sz="1100">
              <a:solidFill>
                <a:schemeClr val="dk1"/>
              </a:solidFill>
              <a:effectLst/>
              <a:latin typeface="+mn-lt"/>
              <a:ea typeface="+mn-ea"/>
              <a:cs typeface="+mn-cs"/>
            </a:rPr>
            <a:t>Różnice między stawkami krańcowymi i średnimi oraz uzasadnienie dla stosowania krańcowych przedstawia </a:t>
          </a:r>
          <a:r>
            <a:rPr lang="pl-PL" sz="1100">
              <a:solidFill>
                <a:schemeClr val="dk1"/>
              </a:solidFill>
              <a:effectLst/>
              <a:latin typeface="+mn-lt"/>
              <a:ea typeface="+mn-ea"/>
              <a:cs typeface="+mn-cs"/>
            </a:rPr>
            <a:t>Handbook on the External Costs of Transport, EC (January2019), str. 82: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a:t>
          </a:r>
          <a:r>
            <a:rPr lang="pl-PL" sz="1100">
              <a:solidFill>
                <a:schemeClr val="dk1"/>
              </a:solidFill>
              <a:effectLst/>
              <a:latin typeface="+mn-lt"/>
              <a:ea typeface="+mn-ea"/>
              <a:cs typeface="+mn-cs"/>
            </a:rPr>
            <a:t>"</a:t>
          </a:r>
        </a:p>
      </xdr:txBody>
    </xdr:sp>
    <xdr:clientData/>
  </xdr:twoCellAnchor>
  <xdr:twoCellAnchor>
    <xdr:from>
      <xdr:col>15</xdr:col>
      <xdr:colOff>9525</xdr:colOff>
      <xdr:row>9</xdr:row>
      <xdr:rowOff>19050</xdr:rowOff>
    </xdr:from>
    <xdr:to>
      <xdr:col>21</xdr:col>
      <xdr:colOff>657225</xdr:colOff>
      <xdr:row>16</xdr:row>
      <xdr:rowOff>161925</xdr:rowOff>
    </xdr:to>
    <xdr:sp macro="" textlink="">
      <xdr:nvSpPr>
        <xdr:cNvPr id="3" name="pole tekstowe 2"/>
        <xdr:cNvSpPr txBox="1"/>
      </xdr:nvSpPr>
      <xdr:spPr>
        <a:xfrm>
          <a:off x="2647950" y="1619250"/>
          <a:ext cx="5705475" cy="14763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Pierwsza metoda jest oparta o tzw. krańcowe koszty wpływu hałasu. Te koszty jednostkowe są</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silnie zróżnicowane w zależności od ruchu, lokalnych warunków (obszar miejski/ zamiejski) i pory dnia. Ponieważ jednostkowe koszty krańcowe wyrażone są w PLN/poj-km, należy zwrócić uwagę na korzystanie z tych samych formuł obliczeniowych, jakie były stosowane przy pozostałych kategoriach kosztów środowiskowych tak, aby koszty jednostkowe hałasu były również wyrażone w tych jednostkach. Koszty ekonomiczne hałasu oblicza się z uwzględnieniem poszczególnych kategorii pojazdów, oddzielnie dla każdego wariantu i każdego roku analizy ekonomicznej, zgodnie z prognozą ruchu.</a:t>
          </a:r>
        </a:p>
      </xdr:txBody>
    </xdr:sp>
    <xdr:clientData/>
  </xdr:twoCellAnchor>
  <xdr:twoCellAnchor>
    <xdr:from>
      <xdr:col>15</xdr:col>
      <xdr:colOff>19050</xdr:colOff>
      <xdr:row>189</xdr:row>
      <xdr:rowOff>161924</xdr:rowOff>
    </xdr:from>
    <xdr:to>
      <xdr:col>22</xdr:col>
      <xdr:colOff>0</xdr:colOff>
      <xdr:row>203</xdr:row>
      <xdr:rowOff>171449</xdr:rowOff>
    </xdr:to>
    <xdr:sp macro="" textlink="">
      <xdr:nvSpPr>
        <xdr:cNvPr id="4" name="pole tekstowe 3"/>
        <xdr:cNvSpPr txBox="1"/>
      </xdr:nvSpPr>
      <xdr:spPr>
        <a:xfrm>
          <a:off x="2657475" y="41195624"/>
          <a:ext cx="5705475" cy="267652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Druga metoda oparta jest o tzw. średnie koszty hałasu </a:t>
          </a:r>
          <a:r>
            <a:rPr lang="pl-PL" sz="1100" u="none">
              <a:solidFill>
                <a:schemeClr val="dk1"/>
              </a:solidFill>
              <a:effectLst/>
              <a:latin typeface="+mn-lt"/>
              <a:ea typeface="+mn-ea"/>
              <a:cs typeface="+mn-cs"/>
            </a:rPr>
            <a:t>na osobę</a:t>
          </a:r>
          <a:r>
            <a:rPr lang="pl-PL" sz="1100">
              <a:solidFill>
                <a:schemeClr val="dk1"/>
              </a:solidFill>
              <a:effectLst/>
              <a:latin typeface="+mn-lt"/>
              <a:ea typeface="+mn-ea"/>
              <a:cs typeface="+mn-cs"/>
            </a:rPr>
            <a:t>. Jest to metoda dwuetapowa:</a:t>
          </a:r>
        </a:p>
        <a:p>
          <a:r>
            <a:rPr lang="pl-PL" sz="1100">
              <a:solidFill>
                <a:schemeClr val="dk1"/>
              </a:solidFill>
              <a:effectLst/>
              <a:latin typeface="+mn-lt"/>
              <a:ea typeface="+mn-ea"/>
              <a:cs typeface="+mn-cs"/>
            </a:rPr>
            <a:t>(i) Oszacowanie dla W0 i Wn liczby osób narażonych na ponadnormatywny hałas drogowy w rozbiciu na poszczególne grupy pojazdów. Szacunki można przeprowadzić w oparciu o mapy hałasu (jeżeli dostępne) i odpowiednie izofony dla różnych przedziałów 55-59 dB(A), 60-64 dB(A), 65-69 dB(A), 70-74 dB(A) oraz powyżej 75 dB(A). Dla obszarów poniżej 55 dB(A) zakłada się brak negatywnych efektów. Po ustaleniu liczby osób narażonych na poszczególne poziomy hałasu, należy zastosować współczynnik pozwalający obliczyć liczbę osób, których problem hałasu faktycznie dotyczy. </a:t>
          </a:r>
        </a:p>
        <a:p>
          <a:r>
            <a:rPr lang="pl-PL" sz="1100">
              <a:solidFill>
                <a:schemeClr val="dk1"/>
              </a:solidFill>
              <a:effectLst/>
              <a:latin typeface="+mn-lt"/>
              <a:ea typeface="+mn-ea"/>
              <a:cs typeface="+mn-cs"/>
            </a:rPr>
            <a:t>(ii) Określenie całkowitych kosztów poprzez przemnożenie liczby osób narażonych na ponadnormatywny hałas przez odpowiadające poszczególnym przedziałom koszty jednostkowe. </a:t>
          </a:r>
        </a:p>
        <a:p>
          <a:r>
            <a:rPr lang="pl-PL" sz="1100">
              <a:solidFill>
                <a:schemeClr val="dk1"/>
              </a:solidFill>
              <a:effectLst/>
              <a:latin typeface="+mn-lt"/>
              <a:ea typeface="+mn-ea"/>
              <a:cs typeface="+mn-cs"/>
            </a:rPr>
            <a:t>Powyższe obliczenia przeprowadza się w oparciu o mapy akustyczne (jeżeli dostępne) dla prognozy pierwszego roku po oddaniu projektu do użytkowania. Dla okresu referencyjnego należy uwzględnić (i) przewidywane zmiany demograficzne oraz (ii) dostępne prognozy lub mapy przyszłych odziaływań hałasu. W przypadku lat, dla których brak jest danych, należy zastosować interpolację liniową.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19051</xdr:colOff>
      <xdr:row>92</xdr:row>
      <xdr:rowOff>142874</xdr:rowOff>
    </xdr:from>
    <xdr:to>
      <xdr:col>27</xdr:col>
      <xdr:colOff>295276</xdr:colOff>
      <xdr:row>96</xdr:row>
      <xdr:rowOff>180975</xdr:rowOff>
    </xdr:to>
    <xdr:sp macro="" textlink="">
      <xdr:nvSpPr>
        <xdr:cNvPr id="3" name="pole tekstowe 2"/>
        <xdr:cNvSpPr txBox="1"/>
      </xdr:nvSpPr>
      <xdr:spPr>
        <a:xfrm>
          <a:off x="2657476" y="3457574"/>
          <a:ext cx="9334500" cy="8001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hałasu zróżnicowano w zależności od dwóch kategorii pojazdów drogowych: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hałasu dla LV należy przyjąć dla samochodów osobowych (SO) i samochodów dostawczych (SD); </a:t>
          </a:r>
        </a:p>
        <a:p>
          <a:r>
            <a:rPr lang="pl-PL" sz="1100">
              <a:solidFill>
                <a:schemeClr val="dk1"/>
              </a:solidFill>
              <a:effectLst/>
              <a:latin typeface="+mn-lt"/>
              <a:ea typeface="+mn-ea"/>
              <a:cs typeface="+mn-cs"/>
            </a:rPr>
            <a:t>- emisje hałasu dla HGV należy przyjąć dla samochodów ciężarowych bez przyczep (SC), samochodów ciężarowych z przyczepami (SCp) oraz autobusów (A). </a:t>
          </a:r>
        </a:p>
      </xdr:txBody>
    </xdr:sp>
    <xdr:clientData/>
  </xdr:twoCellAnchor>
  <xdr:twoCellAnchor>
    <xdr:from>
      <xdr:col>15</xdr:col>
      <xdr:colOff>19050</xdr:colOff>
      <xdr:row>83</xdr:row>
      <xdr:rowOff>19050</xdr:rowOff>
    </xdr:from>
    <xdr:to>
      <xdr:col>22</xdr:col>
      <xdr:colOff>104775</xdr:colOff>
      <xdr:row>92</xdr:row>
      <xdr:rowOff>123825</xdr:rowOff>
    </xdr:to>
    <xdr:sp macro="" textlink="">
      <xdr:nvSpPr>
        <xdr:cNvPr id="4" name="pole tekstowe 3"/>
        <xdr:cNvSpPr txBox="1"/>
      </xdr:nvSpPr>
      <xdr:spPr>
        <a:xfrm>
          <a:off x="2657475" y="1619250"/>
          <a:ext cx="5810250" cy="18192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W alternatywnym </a:t>
          </a:r>
          <a:r>
            <a:rPr lang="pl-PL" sz="1100" baseline="0">
              <a:solidFill>
                <a:schemeClr val="dk1"/>
              </a:solidFill>
              <a:effectLst/>
              <a:latin typeface="+mn-lt"/>
              <a:ea typeface="+mn-ea"/>
              <a:cs typeface="+mn-cs"/>
            </a:rPr>
            <a:t>podejściu przedstawionym na tej zakładce u</a:t>
          </a:r>
          <a:r>
            <a:rPr lang="pl-PL" sz="1100">
              <a:solidFill>
                <a:schemeClr val="dk1"/>
              </a:solidFill>
              <a:effectLst/>
              <a:latin typeface="+mn-lt"/>
              <a:ea typeface="+mn-ea"/>
              <a:cs typeface="+mn-cs"/>
            </a:rPr>
            <a:t>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a:t>
          </a:r>
        </a:p>
        <a:p>
          <a:r>
            <a:rPr lang="pl-PL" sz="1100">
              <a:solidFill>
                <a:schemeClr val="dk1"/>
              </a:solidFill>
              <a:effectLst/>
              <a:latin typeface="+mn-lt"/>
              <a:ea typeface="+mn-ea"/>
              <a:cs typeface="+mn-cs"/>
            </a:rPr>
            <a:t>Koszty krańcowe są dostępne w opracowaniu źródłowym tylko w ujęciu bardziej zdezagregowanym i tylko dla UE-28 a nie dla poszczególnych krajów (pkt 6.4 Marginal noise costs). </a:t>
          </a:r>
        </a:p>
        <a:p>
          <a:r>
            <a:rPr lang="en-GB" sz="1100">
              <a:solidFill>
                <a:schemeClr val="dk1"/>
              </a:solidFill>
              <a:effectLst/>
              <a:latin typeface="+mn-lt"/>
              <a:ea typeface="+mn-ea"/>
              <a:cs typeface="+mn-cs"/>
            </a:rPr>
            <a:t>Różnice między stawkami krańcowymi i średnimi oraz uzasadnienie dla stosowania krańcowych przedstawia </a:t>
          </a:r>
          <a:r>
            <a:rPr lang="pl-PL" sz="1100">
              <a:solidFill>
                <a:schemeClr val="dk1"/>
              </a:solidFill>
              <a:effectLst/>
              <a:latin typeface="+mn-lt"/>
              <a:ea typeface="+mn-ea"/>
              <a:cs typeface="+mn-cs"/>
            </a:rPr>
            <a:t>Handbook on the External Costs of Transport, EC (January 2019), str. 82: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a:t>
          </a:r>
          <a:r>
            <a:rPr lang="pl-PL" sz="1100">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tabSelected="1" workbookViewId="0">
      <selection activeCell="B2" sqref="B2"/>
    </sheetView>
  </sheetViews>
  <sheetFormatPr defaultColWidth="0" defaultRowHeight="15" zeroHeight="1"/>
  <cols>
    <col min="1" max="1" width="9.140625" customWidth="1"/>
    <col min="2" max="2" width="10.140625" bestFit="1" customWidth="1"/>
    <col min="3" max="19" width="9.140625" customWidth="1"/>
    <col min="20" max="16384" width="2" hidden="1"/>
  </cols>
  <sheetData>
    <row r="1" spans="1:19" ht="21">
      <c r="A1" s="4" t="s">
        <v>545</v>
      </c>
      <c r="B1" s="4"/>
      <c r="C1" s="4"/>
      <c r="D1" s="4"/>
      <c r="E1" s="4"/>
      <c r="F1" s="4"/>
      <c r="G1" s="4"/>
      <c r="H1" s="4"/>
      <c r="I1" s="4"/>
      <c r="J1" s="4"/>
      <c r="K1" s="4"/>
      <c r="L1" s="4"/>
      <c r="M1" s="4"/>
      <c r="N1" s="4"/>
      <c r="O1" s="4"/>
      <c r="P1" s="4"/>
      <c r="Q1" s="4"/>
      <c r="R1" s="4"/>
      <c r="S1" s="4"/>
    </row>
    <row r="2" spans="1:19">
      <c r="A2" t="s">
        <v>331</v>
      </c>
      <c r="B2" s="538">
        <v>44705</v>
      </c>
      <c r="C2" s="195"/>
    </row>
    <row r="3" spans="1:19"/>
    <row r="4" spans="1:19">
      <c r="A4" t="s">
        <v>546</v>
      </c>
    </row>
    <row r="5" spans="1:19" s="534" customFormat="1"/>
    <row r="6" spans="1:19">
      <c r="A6" t="s">
        <v>338</v>
      </c>
    </row>
    <row r="7" spans="1:19">
      <c r="A7" s="91" t="s">
        <v>547</v>
      </c>
    </row>
    <row r="8" spans="1:19" s="534" customFormat="1"/>
    <row r="9" spans="1:19" s="539" customFormat="1">
      <c r="A9" s="91" t="s">
        <v>548</v>
      </c>
    </row>
    <row r="10" spans="1:19" s="539" customFormat="1">
      <c r="A10" s="539" t="s">
        <v>549</v>
      </c>
    </row>
    <row r="11" spans="1:19" s="539" customFormat="1">
      <c r="A11" s="91" t="s">
        <v>550</v>
      </c>
    </row>
    <row r="12" spans="1:19" s="613" customFormat="1">
      <c r="A12" s="91"/>
    </row>
    <row r="13" spans="1:19" s="613" customFormat="1">
      <c r="A13" s="91" t="s">
        <v>551</v>
      </c>
    </row>
    <row r="14" spans="1:19" s="613" customFormat="1">
      <c r="A14" s="676" t="s">
        <v>453</v>
      </c>
    </row>
    <row r="15" spans="1:19" s="613" customFormat="1" ht="18">
      <c r="A15" s="676" t="s">
        <v>552</v>
      </c>
    </row>
    <row r="16" spans="1:19" s="539" customFormat="1"/>
    <row r="17" spans="1:10">
      <c r="A17" s="1" t="s">
        <v>332</v>
      </c>
    </row>
    <row r="18" spans="1:10">
      <c r="A18" s="536" t="s">
        <v>333</v>
      </c>
      <c r="J18" s="668"/>
    </row>
    <row r="19" spans="1:10" s="540" customFormat="1">
      <c r="A19" s="536" t="s">
        <v>343</v>
      </c>
    </row>
    <row r="20" spans="1:10" s="540" customFormat="1">
      <c r="A20" s="536" t="s">
        <v>354</v>
      </c>
    </row>
    <row r="21" spans="1:10">
      <c r="A21" s="536" t="s">
        <v>110</v>
      </c>
    </row>
    <row r="22" spans="1:10" s="540" customFormat="1">
      <c r="A22" s="536" t="s">
        <v>385</v>
      </c>
    </row>
    <row r="23" spans="1:10">
      <c r="A23" s="536" t="s">
        <v>46</v>
      </c>
    </row>
    <row r="24" spans="1:10">
      <c r="A24" s="536" t="s">
        <v>47</v>
      </c>
    </row>
    <row r="25" spans="1:10">
      <c r="A25" s="536" t="s">
        <v>136</v>
      </c>
    </row>
    <row r="26" spans="1:10">
      <c r="A26" s="536" t="s">
        <v>252</v>
      </c>
    </row>
    <row r="27" spans="1:10">
      <c r="A27" s="536" t="s">
        <v>334</v>
      </c>
    </row>
    <row r="28" spans="1:10" s="694" customFormat="1">
      <c r="A28" s="536" t="s">
        <v>335</v>
      </c>
    </row>
    <row r="29" spans="1:10">
      <c r="A29" s="536" t="s">
        <v>176</v>
      </c>
    </row>
    <row r="30" spans="1:10">
      <c r="A30" s="536" t="s">
        <v>336</v>
      </c>
    </row>
    <row r="31" spans="1:10">
      <c r="A31" s="536" t="s">
        <v>337</v>
      </c>
    </row>
    <row r="32" spans="1:10" s="548" customFormat="1">
      <c r="A32" s="551" t="s">
        <v>453</v>
      </c>
    </row>
    <row r="33" spans="1:1" s="561" customFormat="1">
      <c r="A33" s="551" t="s">
        <v>446</v>
      </c>
    </row>
    <row r="34" spans="1:1"/>
    <row r="35" spans="1:1" hidden="1"/>
  </sheetData>
  <hyperlinks>
    <hyperlink ref="A18" location="Indeksacja!A1" display="Parametry do przeliczeń walutowych i indeksacji wartości pieniężnych"/>
    <hyperlink ref="A21" location="'VOC eksploatacja samochody'!A1" display="Koszty jednostkowe eksploatacji pojazdów w transporcie drogowym"/>
    <hyperlink ref="A23" location="'Zmiany klimatu (GHG) samochody'!A1" display="Koszty jednostkowe zmian klimatu, transport drogowy"/>
    <hyperlink ref="A24" location="'Zmiany klimatu (GHG) pociągi'!A1" display="Koszty jednostkowe zmian klimatu, transport kolejowy"/>
    <hyperlink ref="A25" location="'Zanieczyszczenia samochody'!A1" display="Koszty jednostkowe zanieczyszczenia powietrza, transport drogowy"/>
    <hyperlink ref="A26" location="'Zanieczyszczenia pociągi'!A1" display="Koszty jednostkowe zanieczyszczenia powietrza, transport kolejowy"/>
    <hyperlink ref="A27" location="'Zanieczyszczenia transp.ląd'!A1" display="Koszty jednostkowe zanieczyszczenia powietrza, transport lądowy ogółem"/>
    <hyperlink ref="A29" location="'Hałas-zagreg.śred.PL'!A1" display="Koszty jednostkowe hałasu w transporcie lądowym"/>
    <hyperlink ref="A28" location="'Hałas-zdezagr.krańc'!A1" display="Koszty jednostkowe hałasu w transporcie lądowym – zdezagregowane"/>
    <hyperlink ref="A30" location="Wypadki!A1" display="Koszty jednostkowe wypadków drogowych"/>
    <hyperlink ref="A31" location="'ECT2019 koszty zewnętrzne'!A1" display="Koszty jednostkowe efektów zewnętrznych transportu – ogółem"/>
    <hyperlink ref="A19" location="'VoT czas pasażerowie'!A1" display="Koszty jednostkowe czasu w przewozach pasażerskich, wszystkie gałęzie transportu"/>
    <hyperlink ref="A20" location="'VoT czas ładunki'!A1" display="Koszty jednostkowe czasu w przewozach ładunków, wszystkie gałęzie transportu"/>
    <hyperlink ref="A22" location="'VOC eksploatacja pociągi'!A1" display="Koszty jednostkowe eksploatacji pociągów w przewozach ładunków"/>
    <hyperlink ref="A32" location="'Utrzymanie dróg'!A1" display="Koszty jednostkowe utrzymania infrastruktury drogowej"/>
    <hyperlink ref="A33" location="'E-Busy emisje'!A1" display="Kalkulacja emisji CO2 i zanieczyszczeń powietrza przez autobusy komunikacji miejskiej"/>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1" ht="21">
      <c r="A1" s="4" t="s">
        <v>252</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69" t="str">
        <f>Indeksacja!$A$2</f>
        <v>Dla roku bazowego 2022 właściwe do zastosowania w analizie są wartości kosztów jednostkowych określone według poziomu cenowego z końca roku poprzedniego, tzn. 2021.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row>
    <row r="3" spans="1:61"/>
    <row r="4" spans="1:61" hidden="1" outlineLevel="1">
      <c r="A4" s="1" t="s">
        <v>254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row>
    <row r="5" spans="1:61" hidden="1" outlineLevel="1">
      <c r="A5" s="1"/>
      <c r="B5" s="369"/>
      <c r="C5" s="369"/>
      <c r="D5" s="369"/>
      <c r="E5" s="369"/>
      <c r="F5" s="369"/>
      <c r="G5" s="369"/>
      <c r="H5" s="369"/>
      <c r="I5" s="369"/>
      <c r="J5" s="369"/>
      <c r="K5" s="369"/>
      <c r="L5" s="369"/>
      <c r="M5" s="369"/>
      <c r="N5" s="369"/>
      <c r="O5" s="369"/>
      <c r="P5" s="794" t="s">
        <v>209</v>
      </c>
      <c r="Q5" s="795"/>
      <c r="R5" s="796"/>
      <c r="S5" s="369"/>
      <c r="T5" s="794" t="s">
        <v>80</v>
      </c>
      <c r="U5" s="795"/>
      <c r="V5" s="796"/>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row>
    <row r="6" spans="1:61" ht="45" hidden="1" outlineLevel="1">
      <c r="A6" s="241"/>
      <c r="B6" s="243" t="s">
        <v>253</v>
      </c>
      <c r="C6" s="242"/>
      <c r="D6" s="242"/>
      <c r="E6" s="242"/>
      <c r="F6" s="242"/>
      <c r="G6" s="242"/>
      <c r="H6" s="242"/>
      <c r="I6" s="242"/>
      <c r="J6" s="242"/>
      <c r="K6" s="242"/>
      <c r="L6" s="242"/>
      <c r="M6" s="242"/>
      <c r="N6" s="242"/>
      <c r="O6" s="242"/>
      <c r="P6" s="408" t="s">
        <v>247</v>
      </c>
      <c r="Q6" s="408" t="s">
        <v>237</v>
      </c>
      <c r="R6" s="408" t="s">
        <v>238</v>
      </c>
      <c r="S6" s="409" t="s">
        <v>241</v>
      </c>
      <c r="T6" s="408" t="s">
        <v>247</v>
      </c>
      <c r="U6" s="408" t="s">
        <v>237</v>
      </c>
      <c r="V6" s="408" t="s">
        <v>238</v>
      </c>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row>
    <row r="7" spans="1:61" hidden="1" outlineLevel="1">
      <c r="A7" s="407" t="s">
        <v>255</v>
      </c>
      <c r="B7" s="407"/>
      <c r="C7" s="407"/>
      <c r="D7" s="407"/>
      <c r="E7" s="407"/>
      <c r="F7" s="407"/>
      <c r="G7" s="407"/>
      <c r="H7" s="407"/>
      <c r="I7" s="407"/>
      <c r="J7" s="407"/>
      <c r="K7" s="407"/>
      <c r="L7" s="407"/>
      <c r="M7" s="407"/>
      <c r="N7" s="407"/>
      <c r="O7" s="407"/>
      <c r="P7" s="418"/>
      <c r="Q7" s="418"/>
      <c r="R7" s="418"/>
      <c r="S7" s="418"/>
      <c r="T7" s="418"/>
      <c r="U7" s="418"/>
      <c r="V7" s="418"/>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row>
    <row r="8" spans="1:61" ht="45" hidden="1" outlineLevel="1">
      <c r="A8" s="337" t="s">
        <v>257</v>
      </c>
      <c r="B8" s="244"/>
      <c r="C8" s="13"/>
      <c r="D8" s="13"/>
      <c r="E8" s="13"/>
      <c r="F8" s="13"/>
      <c r="G8" s="13"/>
      <c r="H8" s="13"/>
      <c r="I8" s="13"/>
      <c r="J8" s="13"/>
      <c r="K8" s="13"/>
      <c r="L8" s="13"/>
      <c r="M8" s="13"/>
      <c r="N8" s="13"/>
      <c r="O8" s="13"/>
      <c r="P8" s="393">
        <v>0.56117054285504231</v>
      </c>
      <c r="Q8" s="393">
        <v>1.1223410857100846</v>
      </c>
      <c r="R8" s="393">
        <v>1.1223410857100846</v>
      </c>
      <c r="S8" s="414" t="str">
        <f>R36</f>
        <v>brak</v>
      </c>
      <c r="T8" s="486" t="str">
        <f>IFERROR(P8*(100%+$S8),"brak")</f>
        <v>brak</v>
      </c>
      <c r="U8" s="486" t="str">
        <f t="shared" ref="U8" si="0">IFERROR(Q8*(100%+$S8),"brak")</f>
        <v>brak</v>
      </c>
      <c r="V8" s="486" t="str">
        <f t="shared" ref="V8" si="1">IFERROR(R8*(100%+$S8),"brak")</f>
        <v>brak</v>
      </c>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row>
    <row r="9" spans="1:61" ht="45" hidden="1" outlineLevel="1">
      <c r="A9" s="447" t="s">
        <v>258</v>
      </c>
      <c r="B9" s="448"/>
      <c r="C9" s="449"/>
      <c r="D9" s="449"/>
      <c r="E9" s="449"/>
      <c r="F9" s="449"/>
      <c r="G9" s="449"/>
      <c r="H9" s="449"/>
      <c r="I9" s="449"/>
      <c r="J9" s="449"/>
      <c r="K9" s="449"/>
      <c r="L9" s="449"/>
      <c r="M9" s="449"/>
      <c r="N9" s="449"/>
      <c r="O9" s="449"/>
      <c r="P9" s="424">
        <v>1.1223410857100846</v>
      </c>
      <c r="Q9" s="424">
        <v>1.1223410857100846</v>
      </c>
      <c r="R9" s="424">
        <v>1.1223410857100846</v>
      </c>
      <c r="S9" s="450">
        <f>R37</f>
        <v>-0.7393802054160864</v>
      </c>
      <c r="T9" s="424">
        <f t="shared" ref="T9:T14" si="2">IFERROR(P9*(100%+$S9),"brak")</f>
        <v>0.2925043032108488</v>
      </c>
      <c r="U9" s="424">
        <f t="shared" ref="U9:U14" si="3">IFERROR(Q9*(100%+$S9),"brak")</f>
        <v>0.2925043032108488</v>
      </c>
      <c r="V9" s="424">
        <f t="shared" ref="V9:V14" si="4">IFERROR(R9*(100%+$S9),"brak")</f>
        <v>0.2925043032108488</v>
      </c>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row>
    <row r="10" spans="1:61" ht="60" hidden="1" outlineLevel="1">
      <c r="A10" s="451" t="s">
        <v>259</v>
      </c>
      <c r="B10" s="452"/>
      <c r="C10" s="453"/>
      <c r="D10" s="453"/>
      <c r="E10" s="453"/>
      <c r="F10" s="453"/>
      <c r="G10" s="453"/>
      <c r="H10" s="453"/>
      <c r="I10" s="453"/>
      <c r="J10" s="453"/>
      <c r="K10" s="453"/>
      <c r="L10" s="453"/>
      <c r="M10" s="453"/>
      <c r="N10" s="453"/>
      <c r="O10" s="453"/>
      <c r="P10" s="454">
        <v>40.614864829379123</v>
      </c>
      <c r="Q10" s="454">
        <v>32.973773114185484</v>
      </c>
      <c r="R10" s="454">
        <v>19.93559860244196</v>
      </c>
      <c r="S10" s="455">
        <f>R38</f>
        <v>-6.2793265895781894E-2</v>
      </c>
      <c r="T10" s="454">
        <f t="shared" si="2"/>
        <v>38.064524822826677</v>
      </c>
      <c r="U10" s="454">
        <f t="shared" si="3"/>
        <v>30.903242211439249</v>
      </c>
      <c r="V10" s="454">
        <f t="shared" si="4"/>
        <v>18.683777258607243</v>
      </c>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row>
    <row r="11" spans="1:61" ht="45" hidden="1" outlineLevel="1">
      <c r="A11" s="456" t="s">
        <v>260</v>
      </c>
      <c r="B11" s="457"/>
      <c r="C11" s="458"/>
      <c r="D11" s="458"/>
      <c r="E11" s="458"/>
      <c r="F11" s="458"/>
      <c r="G11" s="458"/>
      <c r="H11" s="458"/>
      <c r="I11" s="458"/>
      <c r="J11" s="458"/>
      <c r="K11" s="458"/>
      <c r="L11" s="458"/>
      <c r="M11" s="458"/>
      <c r="N11" s="458"/>
      <c r="O11" s="458"/>
      <c r="P11" s="425">
        <v>61.132660819736955</v>
      </c>
      <c r="Q11" s="425">
        <v>58.611100553723048</v>
      </c>
      <c r="R11" s="425">
        <v>35.1561198547003</v>
      </c>
      <c r="S11" s="459">
        <f>S10</f>
        <v>-6.2793265895781894E-2</v>
      </c>
      <c r="T11" s="425">
        <f t="shared" si="2"/>
        <v>57.293941393966563</v>
      </c>
      <c r="U11" s="425">
        <f t="shared" si="3"/>
        <v>54.930718132208703</v>
      </c>
      <c r="V11" s="425">
        <f t="shared" si="4"/>
        <v>32.948552272800129</v>
      </c>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row>
    <row r="12" spans="1:61" ht="30" hidden="1" outlineLevel="1">
      <c r="A12" s="447" t="s">
        <v>261</v>
      </c>
      <c r="B12" s="448"/>
      <c r="C12" s="449"/>
      <c r="D12" s="449"/>
      <c r="E12" s="449"/>
      <c r="F12" s="449"/>
      <c r="G12" s="449"/>
      <c r="H12" s="449"/>
      <c r="I12" s="449"/>
      <c r="J12" s="449"/>
      <c r="K12" s="449"/>
      <c r="L12" s="449"/>
      <c r="M12" s="449"/>
      <c r="N12" s="449"/>
      <c r="O12" s="449"/>
      <c r="P12" s="424">
        <v>1.7431161745204742</v>
      </c>
      <c r="Q12" s="424">
        <v>1.7431161745204742</v>
      </c>
      <c r="R12" s="424">
        <v>1.7431161745204742</v>
      </c>
      <c r="S12" s="450">
        <f>S9</f>
        <v>-0.7393802054160864</v>
      </c>
      <c r="T12" s="424">
        <f t="shared" si="2"/>
        <v>0.45429057933942329</v>
      </c>
      <c r="U12" s="424">
        <f t="shared" si="3"/>
        <v>0.45429057933942329</v>
      </c>
      <c r="V12" s="424">
        <f t="shared" si="4"/>
        <v>0.45429057933942329</v>
      </c>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row>
    <row r="13" spans="1:61" ht="45" hidden="1" outlineLevel="1">
      <c r="A13" s="451" t="s">
        <v>262</v>
      </c>
      <c r="B13" s="452"/>
      <c r="C13" s="453"/>
      <c r="D13" s="453"/>
      <c r="E13" s="453"/>
      <c r="F13" s="453"/>
      <c r="G13" s="453"/>
      <c r="H13" s="453"/>
      <c r="I13" s="453"/>
      <c r="J13" s="453"/>
      <c r="K13" s="453"/>
      <c r="L13" s="453"/>
      <c r="M13" s="453"/>
      <c r="N13" s="453"/>
      <c r="O13" s="453"/>
      <c r="P13" s="454">
        <v>47.132535399851555</v>
      </c>
      <c r="Q13" s="454">
        <v>36.135923355516461</v>
      </c>
      <c r="R13" s="454">
        <v>22.032291411951302</v>
      </c>
      <c r="S13" s="455">
        <f>S10</f>
        <v>-6.2793265895781894E-2</v>
      </c>
      <c r="T13" s="454">
        <f t="shared" si="2"/>
        <v>44.172929572146323</v>
      </c>
      <c r="U13" s="454">
        <f t="shared" si="3"/>
        <v>33.866830711863919</v>
      </c>
      <c r="V13" s="454">
        <f t="shared" si="4"/>
        <v>20.648811879027292</v>
      </c>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row>
    <row r="14" spans="1:61" ht="30" hidden="1" outlineLevel="1">
      <c r="A14" s="456" t="s">
        <v>263</v>
      </c>
      <c r="B14" s="457"/>
      <c r="C14" s="458"/>
      <c r="D14" s="458"/>
      <c r="E14" s="458"/>
      <c r="F14" s="458"/>
      <c r="G14" s="458"/>
      <c r="H14" s="458"/>
      <c r="I14" s="458"/>
      <c r="J14" s="458"/>
      <c r="K14" s="458"/>
      <c r="L14" s="458"/>
      <c r="M14" s="458"/>
      <c r="N14" s="458"/>
      <c r="O14" s="458"/>
      <c r="P14" s="425">
        <v>65.251224156765275</v>
      </c>
      <c r="Q14" s="425">
        <v>61.622342182134695</v>
      </c>
      <c r="R14" s="425">
        <v>37.187598186648174</v>
      </c>
      <c r="S14" s="459">
        <f>S11</f>
        <v>-6.2793265895781894E-2</v>
      </c>
      <c r="T14" s="425">
        <f t="shared" si="2"/>
        <v>61.153886688264244</v>
      </c>
      <c r="U14" s="425">
        <f t="shared" si="3"/>
        <v>57.752874064371049</v>
      </c>
      <c r="V14" s="425">
        <f t="shared" si="4"/>
        <v>34.852467445688475</v>
      </c>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row>
    <row r="15" spans="1:61" hidden="1" outlineLevel="1">
      <c r="A15" s="407" t="s">
        <v>230</v>
      </c>
      <c r="B15" s="407"/>
      <c r="C15" s="407"/>
      <c r="D15" s="407"/>
      <c r="E15" s="407"/>
      <c r="F15" s="407"/>
      <c r="G15" s="407"/>
      <c r="H15" s="407"/>
      <c r="I15" s="407"/>
      <c r="J15" s="407"/>
      <c r="K15" s="407"/>
      <c r="L15" s="407"/>
      <c r="M15" s="407"/>
      <c r="N15" s="407"/>
      <c r="O15" s="407"/>
      <c r="P15" s="418"/>
      <c r="Q15" s="418"/>
      <c r="R15" s="418"/>
      <c r="S15" s="418"/>
      <c r="T15" s="418"/>
      <c r="U15" s="418"/>
      <c r="V15" s="418"/>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row>
    <row r="16" spans="1:61" ht="45" hidden="1" outlineLevel="1">
      <c r="A16" s="447" t="s">
        <v>913</v>
      </c>
      <c r="B16" s="448"/>
      <c r="C16" s="449"/>
      <c r="D16" s="449"/>
      <c r="E16" s="449"/>
      <c r="F16" s="449"/>
      <c r="G16" s="449"/>
      <c r="H16" s="449"/>
      <c r="I16" s="449"/>
      <c r="J16" s="449"/>
      <c r="K16" s="449"/>
      <c r="L16" s="449"/>
      <c r="M16" s="449"/>
      <c r="N16" s="449"/>
      <c r="O16" s="449"/>
      <c r="P16" s="424">
        <v>2</v>
      </c>
      <c r="Q16" s="424">
        <v>2</v>
      </c>
      <c r="R16" s="424">
        <v>2</v>
      </c>
      <c r="S16" s="450">
        <f>R39</f>
        <v>-0.73193131907737019</v>
      </c>
      <c r="T16" s="424">
        <f t="shared" ref="T16:T27" si="5">IFERROR(P16*(100%+$S16),"brak")</f>
        <v>0.53613736184525962</v>
      </c>
      <c r="U16" s="424">
        <f t="shared" ref="U16:U27" si="6">IFERROR(Q16*(100%+$S16),"brak")</f>
        <v>0.53613736184525962</v>
      </c>
      <c r="V16" s="424">
        <f t="shared" ref="V16:V27" si="7">IFERROR(R16*(100%+$S16),"brak")</f>
        <v>0.53613736184525962</v>
      </c>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row>
    <row r="17" spans="1:61" ht="60" hidden="1" outlineLevel="1">
      <c r="A17" s="451" t="s">
        <v>914</v>
      </c>
      <c r="B17" s="452"/>
      <c r="C17" s="453"/>
      <c r="D17" s="453"/>
      <c r="E17" s="453"/>
      <c r="F17" s="453"/>
      <c r="G17" s="453"/>
      <c r="H17" s="453"/>
      <c r="I17" s="453"/>
      <c r="J17" s="453"/>
      <c r="K17" s="453"/>
      <c r="L17" s="453"/>
      <c r="M17" s="453"/>
      <c r="N17" s="453"/>
      <c r="O17" s="453"/>
      <c r="P17" s="454">
        <v>178.19147419034968</v>
      </c>
      <c r="Q17" s="454">
        <v>154.6010402516356</v>
      </c>
      <c r="R17" s="454">
        <v>91.944866377890378</v>
      </c>
      <c r="S17" s="455">
        <f>R40</f>
        <v>8.7336953817690577E-2</v>
      </c>
      <c r="T17" s="454">
        <f t="shared" si="5"/>
        <v>193.75417474241848</v>
      </c>
      <c r="U17" s="454">
        <f t="shared" si="6"/>
        <v>168.10342416425962</v>
      </c>
      <c r="V17" s="454">
        <f t="shared" si="7"/>
        <v>99.975050926509937</v>
      </c>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row>
    <row r="18" spans="1:61" ht="45" hidden="1" outlineLevel="1">
      <c r="A18" s="456" t="s">
        <v>915</v>
      </c>
      <c r="B18" s="457"/>
      <c r="C18" s="458"/>
      <c r="D18" s="458"/>
      <c r="E18" s="458"/>
      <c r="F18" s="458"/>
      <c r="G18" s="458"/>
      <c r="H18" s="458"/>
      <c r="I18" s="458"/>
      <c r="J18" s="458"/>
      <c r="K18" s="458"/>
      <c r="L18" s="458"/>
      <c r="M18" s="458"/>
      <c r="N18" s="458"/>
      <c r="O18" s="458"/>
      <c r="P18" s="425">
        <v>390.45623033646683</v>
      </c>
      <c r="Q18" s="425">
        <v>318.9700668858182</v>
      </c>
      <c r="R18" s="425">
        <v>188.66477082289882</v>
      </c>
      <c r="S18" s="459">
        <f>S17</f>
        <v>8.7336953817690577E-2</v>
      </c>
      <c r="T18" s="425">
        <f t="shared" si="5"/>
        <v>424.55748809319243</v>
      </c>
      <c r="U18" s="425">
        <f t="shared" si="6"/>
        <v>346.82794088665059</v>
      </c>
      <c r="V18" s="425">
        <f t="shared" si="7"/>
        <v>205.14217719928354</v>
      </c>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row>
    <row r="19" spans="1:61" ht="45" hidden="1" outlineLevel="1">
      <c r="A19" s="447" t="s">
        <v>916</v>
      </c>
      <c r="B19" s="448"/>
      <c r="C19" s="449"/>
      <c r="D19" s="449"/>
      <c r="E19" s="449"/>
      <c r="F19" s="449"/>
      <c r="G19" s="449"/>
      <c r="H19" s="449"/>
      <c r="I19" s="449"/>
      <c r="J19" s="449"/>
      <c r="K19" s="449"/>
      <c r="L19" s="449"/>
      <c r="M19" s="449"/>
      <c r="N19" s="449"/>
      <c r="O19" s="449"/>
      <c r="P19" s="424">
        <v>3</v>
      </c>
      <c r="Q19" s="424">
        <v>3</v>
      </c>
      <c r="R19" s="424">
        <v>3</v>
      </c>
      <c r="S19" s="450">
        <f>S16</f>
        <v>-0.73193131907737019</v>
      </c>
      <c r="T19" s="424">
        <f t="shared" si="5"/>
        <v>0.80420604276788943</v>
      </c>
      <c r="U19" s="424">
        <f t="shared" si="6"/>
        <v>0.80420604276788943</v>
      </c>
      <c r="V19" s="424">
        <f t="shared" si="7"/>
        <v>0.80420604276788943</v>
      </c>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row>
    <row r="20" spans="1:61" ht="60" hidden="1" outlineLevel="1">
      <c r="A20" s="451" t="s">
        <v>917</v>
      </c>
      <c r="B20" s="452"/>
      <c r="C20" s="453"/>
      <c r="D20" s="453"/>
      <c r="E20" s="453"/>
      <c r="F20" s="453"/>
      <c r="G20" s="453"/>
      <c r="H20" s="453"/>
      <c r="I20" s="453"/>
      <c r="J20" s="453"/>
      <c r="K20" s="453"/>
      <c r="L20" s="453"/>
      <c r="M20" s="453"/>
      <c r="N20" s="453"/>
      <c r="O20" s="453"/>
      <c r="P20" s="454">
        <v>178.60432441358864</v>
      </c>
      <c r="Q20" s="454">
        <v>155.01389047487456</v>
      </c>
      <c r="R20" s="454">
        <v>92.357716601129354</v>
      </c>
      <c r="S20" s="455">
        <f t="shared" ref="S20:S21" si="8">S17</f>
        <v>8.7336953817690577E-2</v>
      </c>
      <c r="T20" s="454">
        <f t="shared" si="5"/>
        <v>194.20308204653807</v>
      </c>
      <c r="U20" s="454">
        <f t="shared" si="6"/>
        <v>168.55233146837924</v>
      </c>
      <c r="V20" s="454">
        <f t="shared" si="7"/>
        <v>100.42395823062955</v>
      </c>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row>
    <row r="21" spans="1:61" ht="45" hidden="1" outlineLevel="1">
      <c r="A21" s="456" t="s">
        <v>918</v>
      </c>
      <c r="B21" s="457"/>
      <c r="C21" s="458"/>
      <c r="D21" s="458"/>
      <c r="E21" s="458"/>
      <c r="F21" s="458"/>
      <c r="G21" s="458"/>
      <c r="H21" s="458"/>
      <c r="I21" s="458"/>
      <c r="J21" s="458"/>
      <c r="K21" s="458"/>
      <c r="L21" s="458"/>
      <c r="M21" s="458"/>
      <c r="N21" s="458"/>
      <c r="O21" s="458"/>
      <c r="P21" s="425">
        <v>390.86908055970582</v>
      </c>
      <c r="Q21" s="425">
        <v>319.38291710905719</v>
      </c>
      <c r="R21" s="425">
        <v>189.07762104613778</v>
      </c>
      <c r="S21" s="459">
        <f t="shared" si="8"/>
        <v>8.7336953817690577E-2</v>
      </c>
      <c r="T21" s="425">
        <f t="shared" si="5"/>
        <v>425.00639539731208</v>
      </c>
      <c r="U21" s="425">
        <f t="shared" si="6"/>
        <v>347.27684819077024</v>
      </c>
      <c r="V21" s="425">
        <f t="shared" si="7"/>
        <v>205.59108450340312</v>
      </c>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row>
    <row r="22" spans="1:61" ht="45" hidden="1" outlineLevel="1">
      <c r="A22" s="447" t="s">
        <v>919</v>
      </c>
      <c r="B22" s="448"/>
      <c r="C22" s="449"/>
      <c r="D22" s="449"/>
      <c r="E22" s="449"/>
      <c r="F22" s="449"/>
      <c r="G22" s="449"/>
      <c r="H22" s="449"/>
      <c r="I22" s="449"/>
      <c r="J22" s="449"/>
      <c r="K22" s="449"/>
      <c r="L22" s="449"/>
      <c r="M22" s="449"/>
      <c r="N22" s="449"/>
      <c r="O22" s="449"/>
      <c r="P22" s="424">
        <v>5.6000000000000005</v>
      </c>
      <c r="Q22" s="424">
        <v>5.6000000000000005</v>
      </c>
      <c r="R22" s="424">
        <v>5.6000000000000005</v>
      </c>
      <c r="S22" s="450">
        <f>S16</f>
        <v>-0.73193131907737019</v>
      </c>
      <c r="T22" s="424">
        <f t="shared" si="5"/>
        <v>1.501184613166727</v>
      </c>
      <c r="U22" s="424">
        <f t="shared" si="6"/>
        <v>1.501184613166727</v>
      </c>
      <c r="V22" s="424">
        <f t="shared" si="7"/>
        <v>1.501184613166727</v>
      </c>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row>
    <row r="23" spans="1:61" ht="60" hidden="1" outlineLevel="1">
      <c r="A23" s="451" t="s">
        <v>920</v>
      </c>
      <c r="B23" s="452"/>
      <c r="C23" s="453"/>
      <c r="D23" s="453"/>
      <c r="E23" s="453"/>
      <c r="F23" s="453"/>
      <c r="G23" s="453"/>
      <c r="H23" s="453"/>
      <c r="I23" s="453"/>
      <c r="J23" s="453"/>
      <c r="K23" s="453"/>
      <c r="L23" s="453"/>
      <c r="M23" s="453"/>
      <c r="N23" s="453"/>
      <c r="O23" s="453"/>
      <c r="P23" s="454">
        <v>179.67773499401</v>
      </c>
      <c r="Q23" s="454">
        <v>156.08730105529591</v>
      </c>
      <c r="R23" s="454">
        <v>93.431127181550693</v>
      </c>
      <c r="S23" s="455">
        <f t="shared" ref="S23:S24" si="9">S17</f>
        <v>8.7336953817690577E-2</v>
      </c>
      <c r="T23" s="454">
        <f t="shared" si="5"/>
        <v>195.37024103724912</v>
      </c>
      <c r="U23" s="454">
        <f t="shared" si="6"/>
        <v>169.71949045909028</v>
      </c>
      <c r="V23" s="454">
        <f t="shared" si="7"/>
        <v>101.59111722134057</v>
      </c>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row>
    <row r="24" spans="1:61" ht="45" hidden="1" outlineLevel="1">
      <c r="A24" s="456" t="s">
        <v>921</v>
      </c>
      <c r="B24" s="457"/>
      <c r="C24" s="458"/>
      <c r="D24" s="458"/>
      <c r="E24" s="458"/>
      <c r="F24" s="458"/>
      <c r="G24" s="458"/>
      <c r="H24" s="458"/>
      <c r="I24" s="458"/>
      <c r="J24" s="458"/>
      <c r="K24" s="458"/>
      <c r="L24" s="458"/>
      <c r="M24" s="458"/>
      <c r="N24" s="458"/>
      <c r="O24" s="458"/>
      <c r="P24" s="425">
        <v>391.94249114012717</v>
      </c>
      <c r="Q24" s="425">
        <v>320.45632768947854</v>
      </c>
      <c r="R24" s="425">
        <v>190.15103162655913</v>
      </c>
      <c r="S24" s="459">
        <f t="shared" si="9"/>
        <v>8.7336953817690577E-2</v>
      </c>
      <c r="T24" s="425">
        <f t="shared" si="5"/>
        <v>426.17355438802309</v>
      </c>
      <c r="U24" s="425">
        <f t="shared" si="6"/>
        <v>348.44400718148131</v>
      </c>
      <c r="V24" s="425">
        <f t="shared" si="7"/>
        <v>206.75824349411417</v>
      </c>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row>
    <row r="25" spans="1:61" ht="45" hidden="1" outlineLevel="1">
      <c r="A25" s="447" t="s">
        <v>922</v>
      </c>
      <c r="B25" s="448"/>
      <c r="C25" s="449"/>
      <c r="D25" s="449"/>
      <c r="E25" s="449"/>
      <c r="F25" s="449"/>
      <c r="G25" s="449"/>
      <c r="H25" s="449"/>
      <c r="I25" s="449"/>
      <c r="J25" s="449"/>
      <c r="K25" s="449"/>
      <c r="L25" s="449"/>
      <c r="M25" s="449"/>
      <c r="N25" s="449"/>
      <c r="O25" s="449"/>
      <c r="P25" s="424">
        <v>6.4</v>
      </c>
      <c r="Q25" s="424">
        <v>6.4</v>
      </c>
      <c r="R25" s="424">
        <v>6.4</v>
      </c>
      <c r="S25" s="450">
        <f>S16</f>
        <v>-0.73193131907737019</v>
      </c>
      <c r="T25" s="424">
        <f t="shared" si="5"/>
        <v>1.7156395579048309</v>
      </c>
      <c r="U25" s="424">
        <f t="shared" si="6"/>
        <v>1.7156395579048309</v>
      </c>
      <c r="V25" s="424">
        <f t="shared" si="7"/>
        <v>1.7156395579048309</v>
      </c>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row>
    <row r="26" spans="1:61" ht="60" hidden="1" outlineLevel="1">
      <c r="A26" s="451" t="s">
        <v>923</v>
      </c>
      <c r="B26" s="452"/>
      <c r="C26" s="453"/>
      <c r="D26" s="453"/>
      <c r="E26" s="453"/>
      <c r="F26" s="453"/>
      <c r="G26" s="453"/>
      <c r="H26" s="453"/>
      <c r="I26" s="453"/>
      <c r="J26" s="453"/>
      <c r="K26" s="453"/>
      <c r="L26" s="453"/>
      <c r="M26" s="453"/>
      <c r="N26" s="453"/>
      <c r="O26" s="453"/>
      <c r="P26" s="454">
        <v>180.00801517260118</v>
      </c>
      <c r="Q26" s="454">
        <v>156.41758123388709</v>
      </c>
      <c r="R26" s="454">
        <v>93.761407360141874</v>
      </c>
      <c r="S26" s="455">
        <f t="shared" ref="S26:S27" si="10">S17</f>
        <v>8.7336953817690577E-2</v>
      </c>
      <c r="T26" s="454">
        <f t="shared" si="5"/>
        <v>195.7293668805448</v>
      </c>
      <c r="U26" s="454">
        <f t="shared" si="6"/>
        <v>170.07861630238597</v>
      </c>
      <c r="V26" s="454">
        <f t="shared" si="7"/>
        <v>101.95024306463627</v>
      </c>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row>
    <row r="27" spans="1:61" ht="45" hidden="1" outlineLevel="1">
      <c r="A27" s="456" t="s">
        <v>924</v>
      </c>
      <c r="B27" s="457"/>
      <c r="C27" s="458"/>
      <c r="D27" s="458"/>
      <c r="E27" s="458"/>
      <c r="F27" s="458"/>
      <c r="G27" s="458"/>
      <c r="H27" s="458"/>
      <c r="I27" s="458"/>
      <c r="J27" s="458"/>
      <c r="K27" s="458"/>
      <c r="L27" s="458"/>
      <c r="M27" s="458"/>
      <c r="N27" s="458"/>
      <c r="O27" s="458"/>
      <c r="P27" s="425">
        <v>392.27277131871836</v>
      </c>
      <c r="Q27" s="425">
        <v>320.78660786806972</v>
      </c>
      <c r="R27" s="425">
        <v>190.48131180515031</v>
      </c>
      <c r="S27" s="459">
        <f t="shared" si="10"/>
        <v>8.7336953817690577E-2</v>
      </c>
      <c r="T27" s="425">
        <f t="shared" si="5"/>
        <v>426.53268023131881</v>
      </c>
      <c r="U27" s="425">
        <f t="shared" si="6"/>
        <v>348.80313302477697</v>
      </c>
      <c r="V27" s="425">
        <f t="shared" si="7"/>
        <v>207.11736933740985</v>
      </c>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row>
    <row r="28" spans="1:61" hidden="1" outlineLevel="1">
      <c r="A28" s="35" t="s">
        <v>79</v>
      </c>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row>
    <row r="29" spans="1:61" hidden="1" outlineLevel="1">
      <c r="A29" s="247" t="s">
        <v>400</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row>
    <row r="30" spans="1:61" hidden="1" outlineLevel="1">
      <c r="A30" s="715" t="s">
        <v>757</v>
      </c>
      <c r="B30" s="715"/>
      <c r="C30" s="715"/>
      <c r="D30" s="715"/>
      <c r="E30" s="715"/>
      <c r="F30" s="715"/>
      <c r="G30" s="715"/>
      <c r="H30" s="715"/>
      <c r="I30" s="715"/>
      <c r="J30" s="715"/>
      <c r="K30" s="715"/>
      <c r="L30" s="715"/>
      <c r="M30" s="715"/>
      <c r="N30" s="715"/>
      <c r="O30" s="715"/>
      <c r="P30" s="715"/>
      <c r="Q30" s="715"/>
      <c r="R30" s="715"/>
      <c r="S30" s="715"/>
      <c r="T30" s="715"/>
      <c r="U30" s="715"/>
      <c r="V30" s="715"/>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row>
    <row r="31" spans="1:61" s="694" customFormat="1" hidden="1" outlineLevel="1">
      <c r="A31" s="715"/>
      <c r="B31" s="715"/>
      <c r="C31" s="715"/>
      <c r="D31" s="715"/>
      <c r="E31" s="715"/>
      <c r="F31" s="715"/>
      <c r="G31" s="715"/>
      <c r="H31" s="715"/>
      <c r="I31" s="715"/>
      <c r="J31" s="715"/>
      <c r="K31" s="715"/>
      <c r="L31" s="715"/>
      <c r="M31" s="715"/>
      <c r="N31" s="715"/>
      <c r="O31" s="715"/>
      <c r="P31" s="715"/>
      <c r="Q31" s="715"/>
      <c r="R31" s="715"/>
      <c r="S31" s="715"/>
      <c r="T31" s="715"/>
      <c r="U31" s="715"/>
      <c r="V31" s="715"/>
    </row>
    <row r="32" spans="1:61" hidden="1" outlineLevel="1">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row>
    <row r="33" spans="1:61" s="381" customFormat="1" hidden="1" outlineLevel="1">
      <c r="A33" s="1" t="s">
        <v>271</v>
      </c>
    </row>
    <row r="34" spans="1:61" s="381" customFormat="1" hidden="1" outlineLevel="1">
      <c r="A34" s="799"/>
      <c r="B34" s="801" t="s">
        <v>270</v>
      </c>
      <c r="C34" s="242"/>
      <c r="D34" s="242"/>
      <c r="E34" s="242"/>
      <c r="F34" s="242"/>
      <c r="G34" s="242"/>
      <c r="H34" s="242"/>
      <c r="I34" s="242"/>
      <c r="J34" s="242"/>
      <c r="K34" s="242"/>
      <c r="L34" s="242"/>
      <c r="M34" s="242"/>
      <c r="N34" s="242"/>
      <c r="O34" s="242"/>
      <c r="P34" s="242">
        <v>2016</v>
      </c>
      <c r="Q34" s="242">
        <v>2016</v>
      </c>
    </row>
    <row r="35" spans="1:61" s="381" customFormat="1" hidden="1" outlineLevel="1">
      <c r="A35" s="800"/>
      <c r="B35" s="802"/>
      <c r="C35" s="242"/>
      <c r="D35" s="242"/>
      <c r="E35" s="242"/>
      <c r="F35" s="242"/>
      <c r="G35" s="242"/>
      <c r="H35" s="242"/>
      <c r="I35" s="242"/>
      <c r="J35" s="242"/>
      <c r="K35" s="242"/>
      <c r="L35" s="242"/>
      <c r="M35" s="242"/>
      <c r="N35" s="242"/>
      <c r="O35" s="242"/>
      <c r="P35" s="242" t="s">
        <v>209</v>
      </c>
      <c r="Q35" s="242" t="s">
        <v>80</v>
      </c>
      <c r="R35" s="242" t="s">
        <v>210</v>
      </c>
    </row>
    <row r="36" spans="1:61" s="381" customFormat="1" ht="30" hidden="1" outlineLevel="1">
      <c r="A36" s="337" t="s">
        <v>265</v>
      </c>
      <c r="B36" s="10"/>
      <c r="C36" s="13"/>
      <c r="D36" s="13"/>
      <c r="E36" s="13"/>
      <c r="F36" s="13"/>
      <c r="G36" s="13"/>
      <c r="H36" s="13"/>
      <c r="I36" s="13"/>
      <c r="J36" s="13"/>
      <c r="K36" s="13"/>
      <c r="L36" s="13"/>
      <c r="M36" s="13"/>
      <c r="N36" s="13"/>
      <c r="O36" s="13"/>
      <c r="P36" s="393">
        <v>0.66218145274028894</v>
      </c>
      <c r="Q36" s="464" t="s">
        <v>222</v>
      </c>
      <c r="R36" s="394" t="str">
        <f t="shared" ref="R36" si="11">IFERROR((Q36-P36)/P36,"brak")</f>
        <v>brak</v>
      </c>
    </row>
    <row r="37" spans="1:61" s="381" customFormat="1" ht="30" hidden="1" outlineLevel="1">
      <c r="A37" s="337" t="s">
        <v>266</v>
      </c>
      <c r="B37" s="10"/>
      <c r="C37" s="13"/>
      <c r="D37" s="13"/>
      <c r="E37" s="13"/>
      <c r="F37" s="13"/>
      <c r="G37" s="13"/>
      <c r="H37" s="13"/>
      <c r="I37" s="13"/>
      <c r="J37" s="13"/>
      <c r="K37" s="13"/>
      <c r="L37" s="13"/>
      <c r="M37" s="13"/>
      <c r="N37" s="13"/>
      <c r="O37" s="13"/>
      <c r="P37" s="393">
        <v>1.13924777277598</v>
      </c>
      <c r="Q37" s="393">
        <v>0.29691052052105699</v>
      </c>
      <c r="R37" s="394">
        <f t="shared" ref="R37:R40" si="12">IFERROR((Q37-P37)/P37,"brak")</f>
        <v>-0.7393802054160864</v>
      </c>
    </row>
    <row r="38" spans="1:61" s="381" customFormat="1" ht="30" hidden="1" outlineLevel="1">
      <c r="A38" s="337" t="s">
        <v>267</v>
      </c>
      <c r="B38" s="10"/>
      <c r="C38" s="13"/>
      <c r="D38" s="13"/>
      <c r="E38" s="13"/>
      <c r="F38" s="13"/>
      <c r="G38" s="13"/>
      <c r="H38" s="13"/>
      <c r="I38" s="13"/>
      <c r="J38" s="13"/>
      <c r="K38" s="13"/>
      <c r="L38" s="13"/>
      <c r="M38" s="13"/>
      <c r="N38" s="13"/>
      <c r="O38" s="13"/>
      <c r="P38" s="393">
        <v>46.962005688154399</v>
      </c>
      <c r="Q38" s="393">
        <v>44.013107977978898</v>
      </c>
      <c r="R38" s="394">
        <f t="shared" si="12"/>
        <v>-6.2793265895781894E-2</v>
      </c>
    </row>
    <row r="39" spans="1:61" s="381" customFormat="1" ht="30" hidden="1" outlineLevel="1">
      <c r="A39" s="337" t="s">
        <v>268</v>
      </c>
      <c r="B39" s="10"/>
      <c r="C39" s="13"/>
      <c r="D39" s="13"/>
      <c r="E39" s="13"/>
      <c r="F39" s="13"/>
      <c r="G39" s="13"/>
      <c r="H39" s="13"/>
      <c r="I39" s="13"/>
      <c r="J39" s="13"/>
      <c r="K39" s="13"/>
      <c r="L39" s="13"/>
      <c r="M39" s="13"/>
      <c r="N39" s="13"/>
      <c r="O39" s="13"/>
      <c r="P39" s="393">
        <v>2.1410997399119198</v>
      </c>
      <c r="Q39" s="393">
        <v>0.57396178300197398</v>
      </c>
      <c r="R39" s="394">
        <f t="shared" si="12"/>
        <v>-0.73193131907737019</v>
      </c>
    </row>
    <row r="40" spans="1:61" s="381" customFormat="1" ht="30" hidden="1" outlineLevel="1">
      <c r="A40" s="337" t="s">
        <v>269</v>
      </c>
      <c r="B40" s="10"/>
      <c r="C40" s="13"/>
      <c r="D40" s="13"/>
      <c r="E40" s="13"/>
      <c r="F40" s="13"/>
      <c r="G40" s="13"/>
      <c r="H40" s="13"/>
      <c r="I40" s="13"/>
      <c r="J40" s="13"/>
      <c r="K40" s="13"/>
      <c r="L40" s="13"/>
      <c r="M40" s="13"/>
      <c r="N40" s="13"/>
      <c r="O40" s="13"/>
      <c r="P40" s="393">
        <v>305.38956957758597</v>
      </c>
      <c r="Q40" s="393">
        <v>332.061364312188</v>
      </c>
      <c r="R40" s="394">
        <f t="shared" si="12"/>
        <v>8.7336953817690577E-2</v>
      </c>
    </row>
    <row r="41" spans="1:61" s="381" customFormat="1" hidden="1" outlineLevel="1">
      <c r="A41" s="35" t="s">
        <v>758</v>
      </c>
    </row>
    <row r="42" spans="1:61" s="381" customFormat="1" hidden="1" outlineLevel="1"/>
    <row r="43" spans="1:61" hidden="1" outlineLevel="1">
      <c r="A43" s="369" t="s">
        <v>143</v>
      </c>
      <c r="B43" s="164">
        <f>1/100</f>
        <v>0.01</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row>
    <row r="44" spans="1:61" hidden="1" outlineLevel="1">
      <c r="A44" s="369"/>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row>
    <row r="45" spans="1:61" hidden="1" outlineLevel="1">
      <c r="A45" s="9" t="s">
        <v>2</v>
      </c>
      <c r="B45" s="6"/>
      <c r="C45" s="6"/>
      <c r="D45" s="6"/>
      <c r="E45" s="6"/>
      <c r="F45" s="6"/>
      <c r="G45" s="6"/>
      <c r="H45" s="6"/>
      <c r="I45" s="6"/>
      <c r="J45" s="6"/>
      <c r="K45" s="6"/>
      <c r="L45" s="6"/>
      <c r="M45" s="6"/>
      <c r="N45" s="6"/>
      <c r="O45" s="6"/>
      <c r="P45" s="6"/>
      <c r="Q45" s="6">
        <v>2016</v>
      </c>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row>
    <row r="46" spans="1:61" hidden="1" outlineLevel="1">
      <c r="A46" s="8" t="s">
        <v>3</v>
      </c>
      <c r="B46" s="12"/>
      <c r="C46" s="12"/>
      <c r="D46" s="12"/>
      <c r="E46" s="12"/>
      <c r="F46" s="12"/>
      <c r="G46" s="12"/>
      <c r="H46" s="12"/>
      <c r="I46" s="12"/>
      <c r="J46" s="12"/>
      <c r="K46" s="12"/>
      <c r="L46" s="12"/>
      <c r="M46" s="12"/>
      <c r="N46" s="12"/>
      <c r="O46" s="12"/>
      <c r="P46" s="12"/>
      <c r="Q46" s="11">
        <f>Indeksacja!$Q$41</f>
        <v>4.3632</v>
      </c>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row>
    <row r="47" spans="1:61" hidden="1" outlineLevel="1">
      <c r="A47" s="35" t="str">
        <f>Indeksacja!$A$42</f>
        <v>Źródło: ECB, http://sdw.ecb.europa.eu/quickview.do?SERIES_KEY=120.EXR.A.PLN.EUR.SP00.A</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row>
    <row r="48" spans="1:61" s="487" customFormat="1" hidden="1" outlineLevel="1"/>
    <row r="49" spans="1:61" s="490" customFormat="1" ht="30" hidden="1" outlineLevel="1">
      <c r="A49" s="150" t="s">
        <v>589</v>
      </c>
      <c r="B49" s="6"/>
      <c r="C49" s="6"/>
      <c r="D49" s="6"/>
      <c r="E49" s="6"/>
      <c r="F49" s="6"/>
      <c r="G49" s="6"/>
      <c r="H49" s="6"/>
      <c r="I49" s="6"/>
      <c r="J49" s="6"/>
      <c r="K49" s="6"/>
      <c r="L49" s="6"/>
      <c r="M49" s="6"/>
      <c r="N49" s="6"/>
      <c r="O49" s="6"/>
      <c r="P49" s="6"/>
      <c r="Q49" s="6">
        <v>2016</v>
      </c>
    </row>
    <row r="50" spans="1:61" s="490" customFormat="1" hidden="1" outlineLevel="1">
      <c r="A50" s="8" t="s">
        <v>80</v>
      </c>
      <c r="B50" s="503"/>
      <c r="C50" s="503"/>
      <c r="D50" s="503"/>
      <c r="E50" s="503"/>
      <c r="F50" s="503"/>
      <c r="G50" s="503"/>
      <c r="H50" s="503"/>
      <c r="I50" s="503"/>
      <c r="J50" s="503"/>
      <c r="K50" s="503"/>
      <c r="L50" s="503"/>
      <c r="M50" s="503"/>
      <c r="N50" s="503"/>
      <c r="O50" s="503"/>
      <c r="P50" s="503"/>
      <c r="Q50" s="489">
        <f>Indeksacja!$Q$44</f>
        <v>68.2</v>
      </c>
    </row>
    <row r="51" spans="1:61" s="490" customFormat="1" hidden="1" outlineLevel="1">
      <c r="A51" s="35" t="str">
        <f>Indeksacja!$A$45</f>
        <v>Źródło: Eurostat, https://ec.europa.eu/eurostat/data/database Main GDP aggregates per capita [nama_10_pc] (aktualizacja 28.01.2022)</v>
      </c>
    </row>
    <row r="52" spans="1:61" s="490" customFormat="1" hidden="1" outlineLevel="1"/>
    <row r="53" spans="1:61" s="613" customFormat="1" hidden="1" outlineLevel="1">
      <c r="A53" s="749" t="str">
        <f>'VoT czas ładunki'!$A$41</f>
        <v xml:space="preserve">Wyjaśnienie w sprawie przeliczenia wyjściowych wartości kosztów jednostkowych z zastosowaniem kursu walutowego PLN/EUR oraz PKB Polski per capita w jednostkach siły nabywczej (PPS): </v>
      </c>
      <c r="B53" s="749"/>
      <c r="C53" s="749"/>
      <c r="D53" s="749"/>
      <c r="E53" s="749"/>
      <c r="F53" s="749"/>
      <c r="G53" s="749"/>
      <c r="H53" s="749"/>
      <c r="I53" s="749"/>
      <c r="J53" s="749"/>
      <c r="K53" s="749"/>
      <c r="L53" s="749"/>
      <c r="M53" s="749"/>
      <c r="N53" s="749"/>
      <c r="O53" s="749"/>
      <c r="P53" s="749"/>
      <c r="Q53" s="749"/>
      <c r="R53" s="749"/>
      <c r="S53" s="749"/>
      <c r="T53" s="749"/>
      <c r="U53" s="749"/>
      <c r="V53" s="749"/>
    </row>
    <row r="54" spans="1:61" s="694" customFormat="1" hidden="1" outlineLevel="1">
      <c r="A54" s="749"/>
      <c r="B54" s="749"/>
      <c r="C54" s="749"/>
      <c r="D54" s="749"/>
      <c r="E54" s="749"/>
      <c r="F54" s="749"/>
      <c r="G54" s="749"/>
      <c r="H54" s="749"/>
      <c r="I54" s="749"/>
      <c r="J54" s="749"/>
      <c r="K54" s="749"/>
      <c r="L54" s="749"/>
      <c r="M54" s="749"/>
      <c r="N54" s="749"/>
      <c r="O54" s="749"/>
      <c r="P54" s="749"/>
      <c r="Q54" s="749"/>
      <c r="R54" s="749"/>
      <c r="S54" s="749"/>
      <c r="T54" s="749"/>
      <c r="U54" s="749"/>
      <c r="V54" s="749"/>
    </row>
    <row r="55" spans="1:61" s="613" customFormat="1" hidden="1" outlineLevel="1">
      <c r="A55" s="536" t="s">
        <v>531</v>
      </c>
    </row>
    <row r="56" spans="1:61" s="613" customFormat="1" hidden="1" outlineLevel="1"/>
    <row r="57" spans="1:61" hidden="1" outlineLevel="1">
      <c r="A57" s="9" t="s">
        <v>312</v>
      </c>
      <c r="B57" s="41"/>
      <c r="C57" s="41"/>
      <c r="D57" s="41"/>
      <c r="E57" s="41"/>
      <c r="F57" s="41"/>
      <c r="G57" s="41"/>
      <c r="H57" s="41"/>
      <c r="I57" s="41"/>
      <c r="J57" s="41"/>
      <c r="K57" s="41"/>
      <c r="L57" s="41"/>
      <c r="M57" s="41"/>
      <c r="N57" s="41"/>
      <c r="O57" s="41"/>
      <c r="P57" s="41"/>
      <c r="Q57" s="41">
        <v>2016</v>
      </c>
      <c r="R57" s="41">
        <f>Q57+1</f>
        <v>2017</v>
      </c>
      <c r="S57" s="41">
        <f t="shared" ref="S57:V57" si="13">R57+1</f>
        <v>2018</v>
      </c>
      <c r="T57" s="41">
        <f t="shared" si="13"/>
        <v>2019</v>
      </c>
      <c r="U57" s="41">
        <f t="shared" si="13"/>
        <v>2020</v>
      </c>
      <c r="V57" s="41">
        <f t="shared" si="13"/>
        <v>2021</v>
      </c>
      <c r="W57" s="41">
        <f t="shared" ref="W57" si="14">V57+1</f>
        <v>2022</v>
      </c>
      <c r="X57" s="41">
        <f t="shared" ref="X57" si="15">W57+1</f>
        <v>2023</v>
      </c>
      <c r="Y57" s="41">
        <f t="shared" ref="Y57" si="16">X57+1</f>
        <v>2024</v>
      </c>
      <c r="Z57" s="41">
        <f t="shared" ref="Z57" si="17">Y57+1</f>
        <v>2025</v>
      </c>
      <c r="AA57" s="41">
        <f t="shared" ref="AA57" si="18">Z57+1</f>
        <v>2026</v>
      </c>
      <c r="AB57" s="41">
        <f t="shared" ref="AB57" si="19">AA57+1</f>
        <v>2027</v>
      </c>
      <c r="AC57" s="41">
        <f t="shared" ref="AC57" si="20">AB57+1</f>
        <v>2028</v>
      </c>
      <c r="AD57" s="41">
        <f t="shared" ref="AD57" si="21">AC57+1</f>
        <v>2029</v>
      </c>
      <c r="AE57" s="41">
        <f t="shared" ref="AE57" si="22">AD57+1</f>
        <v>2030</v>
      </c>
      <c r="AF57" s="41">
        <f t="shared" ref="AF57" si="23">AE57+1</f>
        <v>2031</v>
      </c>
      <c r="AG57" s="41">
        <f t="shared" ref="AG57" si="24">AF57+1</f>
        <v>2032</v>
      </c>
      <c r="AH57" s="41">
        <f t="shared" ref="AH57" si="25">AG57+1</f>
        <v>2033</v>
      </c>
      <c r="AI57" s="41">
        <f t="shared" ref="AI57" si="26">AH57+1</f>
        <v>2034</v>
      </c>
      <c r="AJ57" s="41">
        <f t="shared" ref="AJ57" si="27">AI57+1</f>
        <v>2035</v>
      </c>
      <c r="AK57" s="41">
        <f t="shared" ref="AK57" si="28">AJ57+1</f>
        <v>2036</v>
      </c>
      <c r="AL57" s="41">
        <f t="shared" ref="AL57" si="29">AK57+1</f>
        <v>2037</v>
      </c>
      <c r="AM57" s="41">
        <f t="shared" ref="AM57" si="30">AL57+1</f>
        <v>2038</v>
      </c>
      <c r="AN57" s="41">
        <f t="shared" ref="AN57" si="31">AM57+1</f>
        <v>2039</v>
      </c>
      <c r="AO57" s="41">
        <f t="shared" ref="AO57" si="32">AN57+1</f>
        <v>2040</v>
      </c>
      <c r="AP57" s="41">
        <f t="shared" ref="AP57" si="33">AO57+1</f>
        <v>2041</v>
      </c>
      <c r="AQ57" s="41">
        <f t="shared" ref="AQ57" si="34">AP57+1</f>
        <v>2042</v>
      </c>
      <c r="AR57" s="41">
        <f t="shared" ref="AR57" si="35">AQ57+1</f>
        <v>2043</v>
      </c>
      <c r="AS57" s="41">
        <f t="shared" ref="AS57" si="36">AR57+1</f>
        <v>2044</v>
      </c>
      <c r="AT57" s="41">
        <f t="shared" ref="AT57" si="37">AS57+1</f>
        <v>2045</v>
      </c>
      <c r="AU57" s="41">
        <f t="shared" ref="AU57" si="38">AT57+1</f>
        <v>2046</v>
      </c>
      <c r="AV57" s="41">
        <f t="shared" ref="AV57" si="39">AU57+1</f>
        <v>2047</v>
      </c>
      <c r="AW57" s="41">
        <f t="shared" ref="AW57" si="40">AV57+1</f>
        <v>2048</v>
      </c>
      <c r="AX57" s="41">
        <f t="shared" ref="AX57" si="41">AW57+1</f>
        <v>2049</v>
      </c>
      <c r="AY57" s="41">
        <f t="shared" ref="AY57" si="42">AX57+1</f>
        <v>2050</v>
      </c>
      <c r="AZ57" s="41">
        <f t="shared" ref="AZ57" si="43">AY57+1</f>
        <v>2051</v>
      </c>
      <c r="BA57" s="41">
        <f t="shared" ref="BA57" si="44">AZ57+1</f>
        <v>2052</v>
      </c>
      <c r="BB57" s="41">
        <f t="shared" ref="BB57" si="45">BA57+1</f>
        <v>2053</v>
      </c>
      <c r="BC57" s="41">
        <f t="shared" ref="BC57" si="46">BB57+1</f>
        <v>2054</v>
      </c>
      <c r="BD57" s="41">
        <f t="shared" ref="BD57" si="47">BC57+1</f>
        <v>2055</v>
      </c>
      <c r="BE57" s="41">
        <f t="shared" ref="BE57" si="48">BD57+1</f>
        <v>2056</v>
      </c>
      <c r="BF57" s="41">
        <f t="shared" ref="BF57" si="49">BE57+1</f>
        <v>2057</v>
      </c>
      <c r="BG57" s="41">
        <f t="shared" ref="BG57" si="50">BF57+1</f>
        <v>2058</v>
      </c>
      <c r="BH57" s="41">
        <f t="shared" ref="BH57" si="51">BG57+1</f>
        <v>2059</v>
      </c>
      <c r="BI57" s="41">
        <f t="shared" ref="BI57" si="52">BH57+1</f>
        <v>2060</v>
      </c>
    </row>
    <row r="58" spans="1:61" ht="45" hidden="1" outlineLevel="1">
      <c r="A58" s="249" t="str">
        <f>Indeksacja!$A$63</f>
        <v>Indeksacja = Y * (PKB per cap PL) * (inflacja PL do roku bazowego), 
skumulowane od 2016</v>
      </c>
      <c r="B58" s="85"/>
      <c r="C58" s="85"/>
      <c r="D58" s="85"/>
      <c r="E58" s="85"/>
      <c r="F58" s="85"/>
      <c r="G58" s="85"/>
      <c r="H58" s="85"/>
      <c r="I58" s="85"/>
      <c r="J58" s="85"/>
      <c r="K58" s="85"/>
      <c r="L58" s="85"/>
      <c r="M58" s="85"/>
      <c r="N58" s="85"/>
      <c r="O58" s="85"/>
      <c r="P58" s="85"/>
      <c r="Q58" s="518">
        <f>Indeksacja!Q$63</f>
        <v>1</v>
      </c>
      <c r="R58" s="80">
        <f>Indeksacja!R$63</f>
        <v>1.0591673885350317</v>
      </c>
      <c r="S58" s="80">
        <f>Indeksacja!S$63</f>
        <v>1.1226294257010379</v>
      </c>
      <c r="T58" s="80">
        <f>Indeksacja!T$63</f>
        <v>1.1916636822847133</v>
      </c>
      <c r="U58" s="80">
        <f>Indeksacja!U$63</f>
        <v>1.2104272262990794</v>
      </c>
      <c r="V58" s="80">
        <f>Indeksacja!V$63</f>
        <v>1.3324960011633553</v>
      </c>
      <c r="W58" s="80">
        <f>Indeksacja!W$63</f>
        <v>1.3751269409968534</v>
      </c>
      <c r="X58" s="80">
        <f>Indeksacja!X$63</f>
        <v>1.4126904978312076</v>
      </c>
      <c r="Y58" s="80">
        <f>Indeksacja!Y$63</f>
        <v>1.4492185071037047</v>
      </c>
      <c r="Z58" s="80">
        <f>Indeksacja!Z$63</f>
        <v>1.4880680576714531</v>
      </c>
      <c r="AA58" s="80">
        <f>Indeksacja!AA$63</f>
        <v>1.5269880385560826</v>
      </c>
      <c r="AB58" s="80">
        <f>Indeksacja!AB$63</f>
        <v>1.5671555517468385</v>
      </c>
      <c r="AC58" s="80">
        <f>Indeksacja!AC$63</f>
        <v>1.6073562798934755</v>
      </c>
      <c r="AD58" s="80">
        <f>Indeksacja!AD$63</f>
        <v>1.6475326055002302</v>
      </c>
      <c r="AE58" s="80">
        <f>Indeksacja!AE$63</f>
        <v>1.6876232622956184</v>
      </c>
      <c r="AF58" s="80">
        <f>Indeksacja!AF$63</f>
        <v>1.7289568355106617</v>
      </c>
      <c r="AG58" s="80">
        <f>Indeksacja!AG$63</f>
        <v>1.7701718496658987</v>
      </c>
      <c r="AH58" s="80">
        <f>Indeksacja!AH$63</f>
        <v>1.8126134626948676</v>
      </c>
      <c r="AI58" s="80">
        <f>Indeksacja!AI$63</f>
        <v>1.8548440766703791</v>
      </c>
      <c r="AJ58" s="80">
        <f>Indeksacja!AJ$63</f>
        <v>1.8967718070712669</v>
      </c>
      <c r="AK58" s="80">
        <f>Indeksacja!AK$63</f>
        <v>1.9383296682979272</v>
      </c>
      <c r="AL58" s="80">
        <f>Indeksacja!AL$63</f>
        <v>1.9794259962014125</v>
      </c>
      <c r="AM58" s="80">
        <f>Indeksacja!AM$63</f>
        <v>2.0199676772402264</v>
      </c>
      <c r="AN58" s="80">
        <f>Indeksacja!AN$63</f>
        <v>2.0598577518909007</v>
      </c>
      <c r="AO58" s="80">
        <f>Indeksacja!AO$63</f>
        <v>2.1006671073295844</v>
      </c>
      <c r="AP58" s="80">
        <f>Indeksacja!AP$63</f>
        <v>2.1390119388600346</v>
      </c>
      <c r="AQ58" s="80">
        <f>Indeksacja!AQ$63</f>
        <v>2.1781615340961782</v>
      </c>
      <c r="AR58" s="80">
        <f>Indeksacja!AR$63</f>
        <v>2.2181177249402304</v>
      </c>
      <c r="AS58" s="80">
        <f>Indeksacja!AS$63</f>
        <v>2.2571163810937258</v>
      </c>
      <c r="AT58" s="80">
        <f>Indeksacja!AT$63</f>
        <v>2.2950723251970113</v>
      </c>
      <c r="AU58" s="80">
        <f>Indeksacja!AU$63</f>
        <v>2.3319014089895655</v>
      </c>
      <c r="AV58" s="80">
        <f>Indeksacja!AV$63</f>
        <v>2.3694036506022047</v>
      </c>
      <c r="AW58" s="80">
        <f>Indeksacja!AW$63</f>
        <v>2.4075728268350982</v>
      </c>
      <c r="AX58" s="80">
        <f>Indeksacja!AX$63</f>
        <v>2.4464157770152815</v>
      </c>
      <c r="AY58" s="80">
        <f>Indeksacja!AY$63</f>
        <v>2.4839608964222504</v>
      </c>
      <c r="AZ58" s="80">
        <f>Indeksacja!AZ$63</f>
        <v>2.5217507825316035</v>
      </c>
      <c r="BA58" s="80">
        <f>Indeksacja!BA$63</f>
        <v>2.5601155873098516</v>
      </c>
      <c r="BB58" s="80">
        <f>Indeksacja!BB$63</f>
        <v>2.5990640573161898</v>
      </c>
      <c r="BC58" s="80">
        <f>Indeksacja!BC$63</f>
        <v>2.6386050721761096</v>
      </c>
      <c r="BD58" s="80">
        <f>Indeksacja!BD$63</f>
        <v>2.6787476466058107</v>
      </c>
      <c r="BE58" s="80">
        <f>Indeksacja!BE$63</f>
        <v>2.7216545334567064</v>
      </c>
      <c r="BF58" s="80">
        <f>Indeksacja!BF$63</f>
        <v>2.765248682111292</v>
      </c>
      <c r="BG58" s="80">
        <f>Indeksacja!BG$63</f>
        <v>2.8095411007974178</v>
      </c>
      <c r="BH58" s="80">
        <f>Indeksacja!BH$63</f>
        <v>2.856801727519541</v>
      </c>
      <c r="BI58" s="80">
        <f>Indeksacja!BI$63</f>
        <v>2.9048573477149877</v>
      </c>
    </row>
    <row r="59" spans="1:61" hidden="1" outlineLevel="1">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row>
    <row r="60" spans="1:61" collapsed="1">
      <c r="A60" s="1" t="s">
        <v>778</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row>
    <row r="61" spans="1:61" ht="30">
      <c r="A61" s="371"/>
      <c r="B61" s="372" t="s">
        <v>256</v>
      </c>
      <c r="C61" s="340"/>
      <c r="D61" s="340"/>
      <c r="E61" s="340"/>
      <c r="F61" s="340"/>
      <c r="G61" s="340"/>
      <c r="H61" s="340"/>
      <c r="I61" s="340"/>
      <c r="J61" s="340"/>
      <c r="K61" s="340"/>
      <c r="L61" s="340"/>
      <c r="M61" s="340"/>
      <c r="N61" s="340"/>
      <c r="O61" s="340"/>
      <c r="P61" s="398" t="s">
        <v>247</v>
      </c>
      <c r="Q61" s="398" t="s">
        <v>237</v>
      </c>
      <c r="R61" s="398" t="s">
        <v>238</v>
      </c>
      <c r="S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row>
    <row r="62" spans="1:61">
      <c r="A62" s="460" t="s">
        <v>255</v>
      </c>
      <c r="B62" s="461"/>
      <c r="C62" s="462"/>
      <c r="D62" s="462"/>
      <c r="E62" s="462"/>
      <c r="F62" s="462"/>
      <c r="G62" s="462"/>
      <c r="H62" s="462"/>
      <c r="I62" s="462"/>
      <c r="J62" s="462"/>
      <c r="K62" s="462"/>
      <c r="L62" s="462"/>
      <c r="M62" s="462"/>
      <c r="N62" s="462"/>
      <c r="O62" s="462"/>
      <c r="P62" s="461"/>
      <c r="Q62" s="461"/>
      <c r="R62" s="463"/>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row>
    <row r="63" spans="1:61" ht="45">
      <c r="A63" s="337" t="str">
        <f t="shared" ref="A63:A69" si="53">A8</f>
        <v>Poc. pasażerskie 
dużych prędkości, 
elektryczne</v>
      </c>
      <c r="B63" s="244"/>
      <c r="C63" s="13"/>
      <c r="D63" s="13"/>
      <c r="E63" s="13"/>
      <c r="F63" s="13"/>
      <c r="G63" s="13"/>
      <c r="H63" s="13"/>
      <c r="I63" s="13"/>
      <c r="J63" s="13"/>
      <c r="K63" s="13"/>
      <c r="L63" s="13"/>
      <c r="M63" s="13"/>
      <c r="N63" s="13"/>
      <c r="O63" s="13"/>
      <c r="P63" s="395" t="str">
        <f t="shared" ref="P63:R69" si="54">IFERROR(T8*$B$43*$Q$46*$Q$50/100,"brak")</f>
        <v>brak</v>
      </c>
      <c r="Q63" s="486" t="str">
        <f t="shared" si="54"/>
        <v>brak</v>
      </c>
      <c r="R63" s="486" t="str">
        <f t="shared" si="54"/>
        <v>brak</v>
      </c>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row>
    <row r="64" spans="1:61" ht="45">
      <c r="A64" s="447" t="str">
        <f t="shared" si="53"/>
        <v>Poc. pasażerskie 
międzyaglomeracyjne, 
elektryczne</v>
      </c>
      <c r="B64" s="448"/>
      <c r="C64" s="449"/>
      <c r="D64" s="449"/>
      <c r="E64" s="449"/>
      <c r="F64" s="449"/>
      <c r="G64" s="449"/>
      <c r="H64" s="449"/>
      <c r="I64" s="449"/>
      <c r="J64" s="449"/>
      <c r="K64" s="449"/>
      <c r="L64" s="449"/>
      <c r="M64" s="449"/>
      <c r="N64" s="449"/>
      <c r="O64" s="449"/>
      <c r="P64" s="424">
        <f t="shared" si="54"/>
        <v>8.7040575707485052E-3</v>
      </c>
      <c r="Q64" s="424">
        <f t="shared" si="54"/>
        <v>8.7040575707485052E-3</v>
      </c>
      <c r="R64" s="424">
        <f t="shared" si="54"/>
        <v>8.7040575707485052E-3</v>
      </c>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row>
    <row r="65" spans="1:61" ht="60">
      <c r="A65" s="451" t="str">
        <f t="shared" si="53"/>
        <v>Poc. pasażerskie 
międzyaglomeracyjne, 
spalinowe (olej napędowy), EGR/SRC</v>
      </c>
      <c r="B65" s="452"/>
      <c r="C65" s="453"/>
      <c r="D65" s="453"/>
      <c r="E65" s="453"/>
      <c r="F65" s="453"/>
      <c r="G65" s="453"/>
      <c r="H65" s="453"/>
      <c r="I65" s="453"/>
      <c r="J65" s="453"/>
      <c r="K65" s="453"/>
      <c r="L65" s="453"/>
      <c r="M65" s="453"/>
      <c r="N65" s="453"/>
      <c r="O65" s="453"/>
      <c r="P65" s="454">
        <f t="shared" si="54"/>
        <v>1.1326869787014493</v>
      </c>
      <c r="Q65" s="454">
        <f t="shared" si="54"/>
        <v>0.91958852016361081</v>
      </c>
      <c r="R65" s="454">
        <f t="shared" si="54"/>
        <v>0.55597360829502995</v>
      </c>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row>
    <row r="66" spans="1:61" ht="45">
      <c r="A66" s="456" t="str">
        <f t="shared" si="53"/>
        <v>Poc. pasażerskie 
międzyaglomeracyjne, 
spalinowe (olej napędowy)</v>
      </c>
      <c r="B66" s="457"/>
      <c r="C66" s="458"/>
      <c r="D66" s="458"/>
      <c r="E66" s="458"/>
      <c r="F66" s="458"/>
      <c r="G66" s="458"/>
      <c r="H66" s="458"/>
      <c r="I66" s="458"/>
      <c r="J66" s="458"/>
      <c r="K66" s="458"/>
      <c r="L66" s="458"/>
      <c r="M66" s="458"/>
      <c r="N66" s="458"/>
      <c r="O66" s="458"/>
      <c r="P66" s="425">
        <f t="shared" si="54"/>
        <v>1.7048971891148565</v>
      </c>
      <c r="Q66" s="425">
        <f t="shared" si="54"/>
        <v>1.6345746977973692</v>
      </c>
      <c r="R66" s="425">
        <f t="shared" si="54"/>
        <v>0.98045086074696808</v>
      </c>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row>
    <row r="67" spans="1:61" ht="30">
      <c r="A67" s="447" t="str">
        <f t="shared" si="53"/>
        <v>Poc. pasażerskie regionalne, 
elektryczne</v>
      </c>
      <c r="B67" s="448"/>
      <c r="C67" s="449"/>
      <c r="D67" s="449"/>
      <c r="E67" s="449"/>
      <c r="F67" s="449"/>
      <c r="G67" s="449"/>
      <c r="H67" s="449"/>
      <c r="I67" s="449"/>
      <c r="J67" s="449"/>
      <c r="K67" s="449"/>
      <c r="L67" s="449"/>
      <c r="M67" s="449"/>
      <c r="N67" s="449"/>
      <c r="O67" s="449"/>
      <c r="P67" s="424">
        <f t="shared" si="54"/>
        <v>1.3518335672377122E-2</v>
      </c>
      <c r="Q67" s="424">
        <f t="shared" si="54"/>
        <v>1.3518335672377122E-2</v>
      </c>
      <c r="R67" s="424">
        <f t="shared" si="54"/>
        <v>1.3518335672377122E-2</v>
      </c>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row>
    <row r="68" spans="1:61" ht="45">
      <c r="A68" s="451" t="str">
        <f t="shared" si="53"/>
        <v>Poc. pasażerskie regionalne, 
spalinowe (olej napędowy), EGR/SRC</v>
      </c>
      <c r="B68" s="452"/>
      <c r="C68" s="453"/>
      <c r="D68" s="453"/>
      <c r="E68" s="453"/>
      <c r="F68" s="453"/>
      <c r="G68" s="453"/>
      <c r="H68" s="453"/>
      <c r="I68" s="453"/>
      <c r="J68" s="453"/>
      <c r="K68" s="453"/>
      <c r="L68" s="453"/>
      <c r="M68" s="453"/>
      <c r="N68" s="453"/>
      <c r="O68" s="453"/>
      <c r="P68" s="454">
        <f t="shared" si="54"/>
        <v>1.3144549254286679</v>
      </c>
      <c r="Q68" s="454">
        <f t="shared" si="54"/>
        <v>1.0077760942968716</v>
      </c>
      <c r="R68" s="454">
        <f t="shared" si="54"/>
        <v>0.6144471906557003</v>
      </c>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row>
    <row r="69" spans="1:61" ht="30">
      <c r="A69" s="456" t="str">
        <f t="shared" si="53"/>
        <v>Poc. pasażerskie regionalne, 
spalinowe (olej napędowy)</v>
      </c>
      <c r="B69" s="457"/>
      <c r="C69" s="458"/>
      <c r="D69" s="458"/>
      <c r="E69" s="458"/>
      <c r="F69" s="458"/>
      <c r="G69" s="458"/>
      <c r="H69" s="458"/>
      <c r="I69" s="458"/>
      <c r="J69" s="458"/>
      <c r="K69" s="458"/>
      <c r="L69" s="458"/>
      <c r="M69" s="458"/>
      <c r="N69" s="458"/>
      <c r="O69" s="458"/>
      <c r="P69" s="425">
        <f t="shared" si="54"/>
        <v>1.8197576738759595</v>
      </c>
      <c r="Q69" s="425">
        <f t="shared" si="54"/>
        <v>1.7185536596024671</v>
      </c>
      <c r="R69" s="425">
        <f t="shared" si="54"/>
        <v>1.0371057102405707</v>
      </c>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row>
    <row r="70" spans="1:61">
      <c r="A70" s="460" t="s">
        <v>230</v>
      </c>
      <c r="B70" s="461"/>
      <c r="C70" s="462"/>
      <c r="D70" s="462"/>
      <c r="E70" s="462"/>
      <c r="F70" s="462"/>
      <c r="G70" s="462"/>
      <c r="H70" s="462"/>
      <c r="I70" s="462"/>
      <c r="J70" s="462"/>
      <c r="K70" s="462"/>
      <c r="L70" s="462"/>
      <c r="M70" s="462"/>
      <c r="N70" s="462"/>
      <c r="O70" s="462"/>
      <c r="P70" s="461"/>
      <c r="Q70" s="461"/>
      <c r="R70" s="463"/>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69"/>
    </row>
    <row r="71" spans="1:61" ht="45">
      <c r="A71" s="447" t="str">
        <f t="shared" ref="A71:A82" si="55">A16</f>
        <v>Poc. towarowe, 
krótkie kontenerowe (420 m), 
elektryczne</v>
      </c>
      <c r="B71" s="448"/>
      <c r="C71" s="449"/>
      <c r="D71" s="449"/>
      <c r="E71" s="449"/>
      <c r="F71" s="449"/>
      <c r="G71" s="449"/>
      <c r="H71" s="449"/>
      <c r="I71" s="449"/>
      <c r="J71" s="449"/>
      <c r="K71" s="449"/>
      <c r="L71" s="449"/>
      <c r="M71" s="449"/>
      <c r="N71" s="449"/>
      <c r="O71" s="449"/>
      <c r="P71" s="424">
        <f t="shared" ref="P71:P82" si="56">IFERROR(T16*$B$43*$Q$46*$Q$50/100,"brak")</f>
        <v>1.5953852343726076E-2</v>
      </c>
      <c r="Q71" s="424">
        <f t="shared" ref="Q71:Q82" si="57">IFERROR(U16*$B$43*$Q$46*$Q$50/100,"brak")</f>
        <v>1.5953852343726076E-2</v>
      </c>
      <c r="R71" s="424">
        <f t="shared" ref="R71:R82" si="58">IFERROR(V16*$B$43*$Q$46*$Q$50/100,"brak")</f>
        <v>1.5953852343726076E-2</v>
      </c>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69"/>
      <c r="AY71" s="369"/>
      <c r="AZ71" s="369"/>
      <c r="BA71" s="369"/>
      <c r="BB71" s="369"/>
      <c r="BC71" s="369"/>
      <c r="BD71" s="369"/>
      <c r="BE71" s="369"/>
      <c r="BF71" s="369"/>
      <c r="BG71" s="369"/>
      <c r="BH71" s="369"/>
      <c r="BI71" s="369"/>
    </row>
    <row r="72" spans="1:61" ht="60">
      <c r="A72" s="451" t="str">
        <f t="shared" si="55"/>
        <v>Poc. towarowe, 
krótkie kontenerowe (420 m), 
spalinowe (olej napędowy), EGR/SRC</v>
      </c>
      <c r="B72" s="452"/>
      <c r="C72" s="453"/>
      <c r="D72" s="453"/>
      <c r="E72" s="453"/>
      <c r="F72" s="453"/>
      <c r="G72" s="453"/>
      <c r="H72" s="453"/>
      <c r="I72" s="453"/>
      <c r="J72" s="453"/>
      <c r="K72" s="453"/>
      <c r="L72" s="453"/>
      <c r="M72" s="453"/>
      <c r="N72" s="453"/>
      <c r="O72" s="453"/>
      <c r="P72" s="454">
        <f t="shared" si="56"/>
        <v>5.7655476279103404</v>
      </c>
      <c r="Q72" s="454">
        <f t="shared" si="57"/>
        <v>5.0022576273380546</v>
      </c>
      <c r="R72" s="454">
        <f t="shared" si="58"/>
        <v>2.9749599898213783</v>
      </c>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69"/>
      <c r="BD72" s="369"/>
      <c r="BE72" s="369"/>
      <c r="BF72" s="369"/>
      <c r="BG72" s="369"/>
      <c r="BH72" s="369"/>
      <c r="BI72" s="369"/>
    </row>
    <row r="73" spans="1:61" ht="45">
      <c r="A73" s="456" t="str">
        <f t="shared" si="55"/>
        <v>Poc. towarowe, 
krótkie kontenerowe (420 m), 
spalinowe (olej napędowy)</v>
      </c>
      <c r="B73" s="457"/>
      <c r="C73" s="458"/>
      <c r="D73" s="458"/>
      <c r="E73" s="458"/>
      <c r="F73" s="458"/>
      <c r="G73" s="458"/>
      <c r="H73" s="458"/>
      <c r="I73" s="458"/>
      <c r="J73" s="458"/>
      <c r="K73" s="458"/>
      <c r="L73" s="458"/>
      <c r="M73" s="458"/>
      <c r="N73" s="458"/>
      <c r="O73" s="458"/>
      <c r="P73" s="425">
        <f t="shared" si="56"/>
        <v>12.633567362568842</v>
      </c>
      <c r="Q73" s="425">
        <f t="shared" si="57"/>
        <v>10.320567360834643</v>
      </c>
      <c r="R73" s="425">
        <f t="shared" si="58"/>
        <v>6.1044206903313327</v>
      </c>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row>
    <row r="74" spans="1:61" ht="45">
      <c r="A74" s="447" t="str">
        <f t="shared" si="55"/>
        <v>Poc. towarowe, 
krótkie masowe (300 m), 
elektryczne</v>
      </c>
      <c r="B74" s="448"/>
      <c r="C74" s="449"/>
      <c r="D74" s="449"/>
      <c r="E74" s="449"/>
      <c r="F74" s="449"/>
      <c r="G74" s="449"/>
      <c r="H74" s="449"/>
      <c r="I74" s="449"/>
      <c r="J74" s="449"/>
      <c r="K74" s="449"/>
      <c r="L74" s="449"/>
      <c r="M74" s="449"/>
      <c r="N74" s="449"/>
      <c r="O74" s="449"/>
      <c r="P74" s="424">
        <f t="shared" si="56"/>
        <v>2.3930778515589109E-2</v>
      </c>
      <c r="Q74" s="424">
        <f t="shared" si="57"/>
        <v>2.3930778515589109E-2</v>
      </c>
      <c r="R74" s="424">
        <f t="shared" si="58"/>
        <v>2.3930778515589109E-2</v>
      </c>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row>
    <row r="75" spans="1:61" ht="60">
      <c r="A75" s="451" t="str">
        <f t="shared" si="55"/>
        <v>Poc. towarowe, 
krótkie masowe (300 m), 
spalinowe (olej napędowy), EGR/SRC</v>
      </c>
      <c r="B75" s="452"/>
      <c r="C75" s="453"/>
      <c r="D75" s="453"/>
      <c r="E75" s="453"/>
      <c r="F75" s="453"/>
      <c r="G75" s="453"/>
      <c r="H75" s="453"/>
      <c r="I75" s="453"/>
      <c r="J75" s="453"/>
      <c r="K75" s="453"/>
      <c r="L75" s="453"/>
      <c r="M75" s="453"/>
      <c r="N75" s="453"/>
      <c r="O75" s="453"/>
      <c r="P75" s="454">
        <f t="shared" si="56"/>
        <v>5.7789057733328022</v>
      </c>
      <c r="Q75" s="454">
        <f t="shared" si="57"/>
        <v>5.0156157727605164</v>
      </c>
      <c r="R75" s="454">
        <f t="shared" si="58"/>
        <v>2.9883181352438406</v>
      </c>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369"/>
      <c r="BH75" s="369"/>
      <c r="BI75" s="369"/>
    </row>
    <row r="76" spans="1:61" ht="45">
      <c r="A76" s="456" t="str">
        <f t="shared" si="55"/>
        <v>Poc. towarowe, 
krótkie masowe (300 m), 
spalinowe (olej napędowy)</v>
      </c>
      <c r="B76" s="457"/>
      <c r="C76" s="458"/>
      <c r="D76" s="458"/>
      <c r="E76" s="458"/>
      <c r="F76" s="458"/>
      <c r="G76" s="458"/>
      <c r="H76" s="458"/>
      <c r="I76" s="458"/>
      <c r="J76" s="458"/>
      <c r="K76" s="458"/>
      <c r="L76" s="458"/>
      <c r="M76" s="458"/>
      <c r="N76" s="458"/>
      <c r="O76" s="458"/>
      <c r="P76" s="425">
        <f t="shared" si="56"/>
        <v>12.646925507991307</v>
      </c>
      <c r="Q76" s="425">
        <f t="shared" si="57"/>
        <v>10.333925506257108</v>
      </c>
      <c r="R76" s="425">
        <f t="shared" si="58"/>
        <v>6.1177788357537954</v>
      </c>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row>
    <row r="77" spans="1:61" ht="45">
      <c r="A77" s="447" t="str">
        <f t="shared" si="55"/>
        <v>Poc. towarowe, 
długie kontenerowe (620 m), 
elektryczne</v>
      </c>
      <c r="B77" s="448"/>
      <c r="C77" s="449"/>
      <c r="D77" s="449"/>
      <c r="E77" s="449"/>
      <c r="F77" s="449"/>
      <c r="G77" s="449"/>
      <c r="H77" s="449"/>
      <c r="I77" s="449"/>
      <c r="J77" s="449"/>
      <c r="K77" s="449"/>
      <c r="L77" s="449"/>
      <c r="M77" s="449"/>
      <c r="N77" s="449"/>
      <c r="O77" s="449"/>
      <c r="P77" s="424">
        <f t="shared" si="56"/>
        <v>4.4670786562433007E-2</v>
      </c>
      <c r="Q77" s="424">
        <f t="shared" si="57"/>
        <v>4.4670786562433007E-2</v>
      </c>
      <c r="R77" s="424">
        <f t="shared" si="58"/>
        <v>4.4670786562433007E-2</v>
      </c>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369"/>
      <c r="BI77" s="369"/>
    </row>
    <row r="78" spans="1:61" ht="60">
      <c r="A78" s="451" t="str">
        <f t="shared" si="55"/>
        <v>Poc. towarowe, 
długie kontenerowe (620 m), 
spalinowe (olej napędowy), EGR/SRC</v>
      </c>
      <c r="B78" s="452"/>
      <c r="C78" s="453"/>
      <c r="D78" s="453"/>
      <c r="E78" s="453"/>
      <c r="F78" s="453"/>
      <c r="G78" s="453"/>
      <c r="H78" s="453"/>
      <c r="I78" s="453"/>
      <c r="J78" s="453"/>
      <c r="K78" s="453"/>
      <c r="L78" s="453"/>
      <c r="M78" s="453"/>
      <c r="N78" s="453"/>
      <c r="O78" s="453"/>
      <c r="P78" s="454">
        <f t="shared" si="56"/>
        <v>5.8136369514312074</v>
      </c>
      <c r="Q78" s="454">
        <f t="shared" si="57"/>
        <v>5.0503469508589207</v>
      </c>
      <c r="R78" s="454">
        <f t="shared" si="58"/>
        <v>3.0230493133422449</v>
      </c>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row>
    <row r="79" spans="1:61" ht="45">
      <c r="A79" s="456" t="str">
        <f t="shared" si="55"/>
        <v>Poc. towarowe, 
długie kontenerowe (620 m), 
spalinowe (olej napędowy)</v>
      </c>
      <c r="B79" s="457"/>
      <c r="C79" s="458"/>
      <c r="D79" s="458"/>
      <c r="E79" s="458"/>
      <c r="F79" s="458"/>
      <c r="G79" s="458"/>
      <c r="H79" s="458"/>
      <c r="I79" s="458"/>
      <c r="J79" s="458"/>
      <c r="K79" s="458"/>
      <c r="L79" s="458"/>
      <c r="M79" s="458"/>
      <c r="N79" s="458"/>
      <c r="O79" s="458"/>
      <c r="P79" s="425">
        <f t="shared" si="56"/>
        <v>12.681656686089712</v>
      </c>
      <c r="Q79" s="425">
        <f t="shared" si="57"/>
        <v>10.368656684355512</v>
      </c>
      <c r="R79" s="425">
        <f t="shared" si="58"/>
        <v>6.1525100138521989</v>
      </c>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369"/>
      <c r="BI79" s="369"/>
    </row>
    <row r="80" spans="1:61" ht="45">
      <c r="A80" s="447" t="str">
        <f t="shared" si="55"/>
        <v>Poc. towarowe, 
długie masowe (440 m), 
elektryczne</v>
      </c>
      <c r="B80" s="448"/>
      <c r="C80" s="449"/>
      <c r="D80" s="449"/>
      <c r="E80" s="449"/>
      <c r="F80" s="449"/>
      <c r="G80" s="449"/>
      <c r="H80" s="449"/>
      <c r="I80" s="449"/>
      <c r="J80" s="449"/>
      <c r="K80" s="449"/>
      <c r="L80" s="449"/>
      <c r="M80" s="449"/>
      <c r="N80" s="449"/>
      <c r="O80" s="449"/>
      <c r="P80" s="424">
        <f t="shared" si="56"/>
        <v>5.1052327499923458E-2</v>
      </c>
      <c r="Q80" s="424">
        <f t="shared" si="57"/>
        <v>5.1052327499923458E-2</v>
      </c>
      <c r="R80" s="424">
        <f t="shared" si="58"/>
        <v>5.1052327499923458E-2</v>
      </c>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369"/>
      <c r="BI80" s="369"/>
    </row>
    <row r="81" spans="1:61" ht="60">
      <c r="A81" s="451" t="str">
        <f t="shared" si="55"/>
        <v>Poc. towarowe, 
długie masowe (440 m), 
spalinowe (olej napędowy), EGR/SRC</v>
      </c>
      <c r="B81" s="452"/>
      <c r="C81" s="453"/>
      <c r="D81" s="453"/>
      <c r="E81" s="453"/>
      <c r="F81" s="453"/>
      <c r="G81" s="453"/>
      <c r="H81" s="453"/>
      <c r="I81" s="453"/>
      <c r="J81" s="453"/>
      <c r="K81" s="453"/>
      <c r="L81" s="453"/>
      <c r="M81" s="453"/>
      <c r="N81" s="453"/>
      <c r="O81" s="453"/>
      <c r="P81" s="454">
        <f t="shared" si="56"/>
        <v>5.8243234677691769</v>
      </c>
      <c r="Q81" s="454">
        <f t="shared" si="57"/>
        <v>5.0610334671968902</v>
      </c>
      <c r="R81" s="454">
        <f t="shared" si="58"/>
        <v>3.0337358296802148</v>
      </c>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69"/>
      <c r="AY81" s="369"/>
      <c r="AZ81" s="369"/>
      <c r="BA81" s="369"/>
      <c r="BB81" s="369"/>
      <c r="BC81" s="369"/>
      <c r="BD81" s="369"/>
      <c r="BE81" s="369"/>
      <c r="BF81" s="369"/>
      <c r="BG81" s="369"/>
      <c r="BH81" s="369"/>
      <c r="BI81" s="369"/>
    </row>
    <row r="82" spans="1:61" ht="45">
      <c r="A82" s="456" t="str">
        <f t="shared" si="55"/>
        <v>Poc. towarowe, 
długie masowe (440 m), 
spalinowe (olej napędowy)</v>
      </c>
      <c r="B82" s="457"/>
      <c r="C82" s="458"/>
      <c r="D82" s="458"/>
      <c r="E82" s="458"/>
      <c r="F82" s="458"/>
      <c r="G82" s="458"/>
      <c r="H82" s="458"/>
      <c r="I82" s="458"/>
      <c r="J82" s="458"/>
      <c r="K82" s="458"/>
      <c r="L82" s="458"/>
      <c r="M82" s="458"/>
      <c r="N82" s="458"/>
      <c r="O82" s="458"/>
      <c r="P82" s="425">
        <f t="shared" si="56"/>
        <v>12.692343202427681</v>
      </c>
      <c r="Q82" s="425">
        <f t="shared" si="57"/>
        <v>10.379343200693482</v>
      </c>
      <c r="R82" s="425">
        <f t="shared" si="58"/>
        <v>6.1631965301901683</v>
      </c>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69"/>
      <c r="AQ82" s="369"/>
      <c r="AR82" s="369"/>
      <c r="AS82" s="369"/>
      <c r="AT82" s="369"/>
      <c r="AU82" s="369"/>
      <c r="AV82" s="369"/>
      <c r="AW82" s="369"/>
      <c r="AX82" s="369"/>
      <c r="AY82" s="369"/>
      <c r="AZ82" s="369"/>
      <c r="BA82" s="369"/>
      <c r="BB82" s="369"/>
      <c r="BC82" s="369"/>
      <c r="BD82" s="369"/>
      <c r="BE82" s="369"/>
      <c r="BF82" s="369"/>
      <c r="BG82" s="369"/>
      <c r="BH82" s="369"/>
      <c r="BI82" s="369"/>
    </row>
    <row r="83" spans="1:6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69"/>
      <c r="BF83" s="369"/>
      <c r="BG83" s="369"/>
      <c r="BH83" s="369"/>
      <c r="BI83" s="369"/>
    </row>
    <row r="84" spans="1:61">
      <c r="A84" s="787" t="s">
        <v>759</v>
      </c>
      <c r="B84" s="787"/>
      <c r="C84" s="787"/>
      <c r="D84" s="787"/>
      <c r="E84" s="787"/>
      <c r="F84" s="787"/>
      <c r="G84" s="787"/>
      <c r="H84" s="787"/>
      <c r="I84" s="787"/>
      <c r="J84" s="787"/>
      <c r="K84" s="787"/>
      <c r="L84" s="787"/>
      <c r="M84" s="787"/>
      <c r="N84" s="787"/>
      <c r="O84" s="787"/>
      <c r="P84" s="787"/>
      <c r="Q84" s="787"/>
      <c r="R84" s="787"/>
      <c r="S84" s="787"/>
      <c r="T84" s="787"/>
      <c r="U84" s="787"/>
      <c r="V84" s="787"/>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row>
    <row r="85" spans="1:61" s="690" customFormat="1">
      <c r="A85" s="789"/>
      <c r="B85" s="789"/>
      <c r="C85" s="789"/>
      <c r="D85" s="789"/>
      <c r="E85" s="789"/>
      <c r="F85" s="789"/>
      <c r="G85" s="789"/>
      <c r="H85" s="789"/>
      <c r="I85" s="789"/>
      <c r="J85" s="789"/>
      <c r="K85" s="789"/>
      <c r="L85" s="789"/>
      <c r="M85" s="789"/>
      <c r="N85" s="789"/>
      <c r="O85" s="789"/>
      <c r="P85" s="789"/>
      <c r="Q85" s="789"/>
      <c r="R85" s="789"/>
      <c r="S85" s="789"/>
      <c r="T85" s="789"/>
      <c r="U85" s="789"/>
      <c r="V85" s="789"/>
    </row>
    <row r="86" spans="1:61">
      <c r="A86" s="803" t="s">
        <v>69</v>
      </c>
      <c r="B86" s="685" t="s">
        <v>328</v>
      </c>
      <c r="C86" s="671"/>
      <c r="D86" s="671"/>
      <c r="E86" s="671"/>
      <c r="F86" s="671"/>
      <c r="G86" s="671"/>
      <c r="H86" s="671"/>
      <c r="I86" s="671"/>
      <c r="J86" s="671"/>
      <c r="K86" s="671"/>
      <c r="L86" s="671"/>
      <c r="M86" s="671"/>
      <c r="N86" s="671"/>
      <c r="O86" s="671"/>
      <c r="P86" s="674"/>
      <c r="Q86" s="6"/>
      <c r="R86" s="6"/>
      <c r="S86" s="6"/>
      <c r="T86" s="6">
        <v>2020</v>
      </c>
      <c r="U86" s="6">
        <f t="shared" ref="U86" si="59">T86+1</f>
        <v>2021</v>
      </c>
      <c r="V86" s="6">
        <f t="shared" ref="V86" si="60">U86+1</f>
        <v>2022</v>
      </c>
      <c r="W86" s="6">
        <f t="shared" ref="W86:BI86" si="61">V86+1</f>
        <v>2023</v>
      </c>
      <c r="X86" s="6">
        <f t="shared" si="61"/>
        <v>2024</v>
      </c>
      <c r="Y86" s="6">
        <f t="shared" si="61"/>
        <v>2025</v>
      </c>
      <c r="Z86" s="6">
        <f t="shared" si="61"/>
        <v>2026</v>
      </c>
      <c r="AA86" s="6">
        <f t="shared" si="61"/>
        <v>2027</v>
      </c>
      <c r="AB86" s="6">
        <f t="shared" si="61"/>
        <v>2028</v>
      </c>
      <c r="AC86" s="6">
        <f t="shared" si="61"/>
        <v>2029</v>
      </c>
      <c r="AD86" s="6">
        <f t="shared" si="61"/>
        <v>2030</v>
      </c>
      <c r="AE86" s="6">
        <f t="shared" si="61"/>
        <v>2031</v>
      </c>
      <c r="AF86" s="6">
        <f t="shared" si="61"/>
        <v>2032</v>
      </c>
      <c r="AG86" s="6">
        <f t="shared" si="61"/>
        <v>2033</v>
      </c>
      <c r="AH86" s="6">
        <f t="shared" si="61"/>
        <v>2034</v>
      </c>
      <c r="AI86" s="6">
        <f t="shared" si="61"/>
        <v>2035</v>
      </c>
      <c r="AJ86" s="6">
        <f t="shared" si="61"/>
        <v>2036</v>
      </c>
      <c r="AK86" s="6">
        <f t="shared" si="61"/>
        <v>2037</v>
      </c>
      <c r="AL86" s="6">
        <f t="shared" si="61"/>
        <v>2038</v>
      </c>
      <c r="AM86" s="6">
        <f t="shared" si="61"/>
        <v>2039</v>
      </c>
      <c r="AN86" s="6">
        <f t="shared" si="61"/>
        <v>2040</v>
      </c>
      <c r="AO86" s="6">
        <f t="shared" si="61"/>
        <v>2041</v>
      </c>
      <c r="AP86" s="6">
        <f t="shared" si="61"/>
        <v>2042</v>
      </c>
      <c r="AQ86" s="6">
        <f t="shared" si="61"/>
        <v>2043</v>
      </c>
      <c r="AR86" s="6">
        <f t="shared" si="61"/>
        <v>2044</v>
      </c>
      <c r="AS86" s="6">
        <f t="shared" si="61"/>
        <v>2045</v>
      </c>
      <c r="AT86" s="6">
        <f t="shared" si="61"/>
        <v>2046</v>
      </c>
      <c r="AU86" s="6">
        <f t="shared" si="61"/>
        <v>2047</v>
      </c>
      <c r="AV86" s="6">
        <f t="shared" si="61"/>
        <v>2048</v>
      </c>
      <c r="AW86" s="6">
        <f t="shared" si="61"/>
        <v>2049</v>
      </c>
      <c r="AX86" s="6">
        <f t="shared" si="61"/>
        <v>2050</v>
      </c>
      <c r="AY86" s="6">
        <f t="shared" si="61"/>
        <v>2051</v>
      </c>
      <c r="AZ86" s="6">
        <f t="shared" si="61"/>
        <v>2052</v>
      </c>
      <c r="BA86" s="6">
        <f t="shared" si="61"/>
        <v>2053</v>
      </c>
      <c r="BB86" s="6">
        <f t="shared" si="61"/>
        <v>2054</v>
      </c>
      <c r="BC86" s="6">
        <f t="shared" si="61"/>
        <v>2055</v>
      </c>
      <c r="BD86" s="6">
        <f t="shared" si="61"/>
        <v>2056</v>
      </c>
      <c r="BE86" s="6">
        <f t="shared" si="61"/>
        <v>2057</v>
      </c>
      <c r="BF86" s="6">
        <f t="shared" si="61"/>
        <v>2058</v>
      </c>
      <c r="BG86" s="6">
        <f t="shared" si="61"/>
        <v>2059</v>
      </c>
      <c r="BH86" s="6">
        <f t="shared" si="61"/>
        <v>2060</v>
      </c>
      <c r="BI86" s="6">
        <f t="shared" si="61"/>
        <v>2061</v>
      </c>
    </row>
    <row r="87" spans="1:61">
      <c r="A87" s="804"/>
      <c r="B87" s="686" t="s">
        <v>530</v>
      </c>
      <c r="C87" s="681"/>
      <c r="D87" s="681"/>
      <c r="E87" s="681"/>
      <c r="F87" s="681"/>
      <c r="G87" s="681"/>
      <c r="H87" s="681"/>
      <c r="I87" s="681"/>
      <c r="J87" s="681"/>
      <c r="K87" s="681"/>
      <c r="L87" s="681"/>
      <c r="M87" s="681"/>
      <c r="N87" s="681"/>
      <c r="O87" s="681"/>
      <c r="P87" s="687"/>
      <c r="Q87" s="683">
        <f>DATE(2016,12,31)</f>
        <v>42735</v>
      </c>
      <c r="R87" s="683">
        <f>DATE(YEAR(Q87+1),12,31)</f>
        <v>43100</v>
      </c>
      <c r="S87" s="683">
        <f t="shared" ref="S87" si="62">DATE(YEAR(R87+1),12,31)</f>
        <v>43465</v>
      </c>
      <c r="T87" s="683">
        <f>DATE(YEAR(S87+1),12,31)</f>
        <v>43830</v>
      </c>
      <c r="U87" s="683">
        <f t="shared" ref="U87:BI87" si="63">DATE(YEAR(T87+1),12,31)</f>
        <v>44196</v>
      </c>
      <c r="V87" s="683">
        <f t="shared" si="63"/>
        <v>44561</v>
      </c>
      <c r="W87" s="683">
        <f t="shared" si="63"/>
        <v>44926</v>
      </c>
      <c r="X87" s="683">
        <f t="shared" si="63"/>
        <v>45291</v>
      </c>
      <c r="Y87" s="683">
        <f t="shared" si="63"/>
        <v>45657</v>
      </c>
      <c r="Z87" s="683">
        <f t="shared" si="63"/>
        <v>46022</v>
      </c>
      <c r="AA87" s="683">
        <f t="shared" si="63"/>
        <v>46387</v>
      </c>
      <c r="AB87" s="683">
        <f t="shared" si="63"/>
        <v>46752</v>
      </c>
      <c r="AC87" s="683">
        <f t="shared" si="63"/>
        <v>47118</v>
      </c>
      <c r="AD87" s="683">
        <f t="shared" si="63"/>
        <v>47483</v>
      </c>
      <c r="AE87" s="683">
        <f t="shared" si="63"/>
        <v>47848</v>
      </c>
      <c r="AF87" s="683">
        <f t="shared" si="63"/>
        <v>48213</v>
      </c>
      <c r="AG87" s="683">
        <f t="shared" si="63"/>
        <v>48579</v>
      </c>
      <c r="AH87" s="683">
        <f t="shared" si="63"/>
        <v>48944</v>
      </c>
      <c r="AI87" s="683">
        <f t="shared" si="63"/>
        <v>49309</v>
      </c>
      <c r="AJ87" s="683">
        <f t="shared" si="63"/>
        <v>49674</v>
      </c>
      <c r="AK87" s="683">
        <f t="shared" si="63"/>
        <v>50040</v>
      </c>
      <c r="AL87" s="683">
        <f t="shared" si="63"/>
        <v>50405</v>
      </c>
      <c r="AM87" s="683">
        <f t="shared" si="63"/>
        <v>50770</v>
      </c>
      <c r="AN87" s="683">
        <f t="shared" si="63"/>
        <v>51135</v>
      </c>
      <c r="AO87" s="683">
        <f t="shared" si="63"/>
        <v>51501</v>
      </c>
      <c r="AP87" s="683">
        <f t="shared" si="63"/>
        <v>51866</v>
      </c>
      <c r="AQ87" s="683">
        <f t="shared" si="63"/>
        <v>52231</v>
      </c>
      <c r="AR87" s="683">
        <f t="shared" si="63"/>
        <v>52596</v>
      </c>
      <c r="AS87" s="683">
        <f t="shared" si="63"/>
        <v>52962</v>
      </c>
      <c r="AT87" s="683">
        <f t="shared" si="63"/>
        <v>53327</v>
      </c>
      <c r="AU87" s="683">
        <f t="shared" si="63"/>
        <v>53692</v>
      </c>
      <c r="AV87" s="683">
        <f t="shared" si="63"/>
        <v>54057</v>
      </c>
      <c r="AW87" s="683">
        <f t="shared" si="63"/>
        <v>54423</v>
      </c>
      <c r="AX87" s="683">
        <f t="shared" si="63"/>
        <v>54788</v>
      </c>
      <c r="AY87" s="683">
        <f t="shared" si="63"/>
        <v>55153</v>
      </c>
      <c r="AZ87" s="683">
        <f t="shared" si="63"/>
        <v>55518</v>
      </c>
      <c r="BA87" s="683">
        <f t="shared" si="63"/>
        <v>55884</v>
      </c>
      <c r="BB87" s="683">
        <f t="shared" si="63"/>
        <v>56249</v>
      </c>
      <c r="BC87" s="683">
        <f t="shared" si="63"/>
        <v>56614</v>
      </c>
      <c r="BD87" s="683">
        <f t="shared" si="63"/>
        <v>56979</v>
      </c>
      <c r="BE87" s="683">
        <f t="shared" si="63"/>
        <v>57345</v>
      </c>
      <c r="BF87" s="683">
        <f t="shared" si="63"/>
        <v>57710</v>
      </c>
      <c r="BG87" s="683">
        <f t="shared" si="63"/>
        <v>58075</v>
      </c>
      <c r="BH87" s="683">
        <f t="shared" si="63"/>
        <v>58440</v>
      </c>
      <c r="BI87" s="683">
        <f t="shared" si="63"/>
        <v>58806</v>
      </c>
    </row>
    <row r="88" spans="1:61" ht="45">
      <c r="A88" s="465" t="str">
        <f>A64</f>
        <v>Poc. pasażerskie 
międzyaglomeracyjne, 
elektryczne</v>
      </c>
      <c r="B88" s="129" t="s">
        <v>48</v>
      </c>
      <c r="C88" s="13"/>
      <c r="D88" s="13"/>
      <c r="E88" s="13"/>
      <c r="F88" s="13"/>
      <c r="G88" s="13"/>
      <c r="H88" s="13"/>
      <c r="I88" s="13"/>
      <c r="J88" s="13"/>
      <c r="K88" s="13"/>
      <c r="L88" s="13"/>
      <c r="M88" s="13"/>
      <c r="N88" s="13"/>
      <c r="O88" s="13"/>
      <c r="P88" s="13"/>
      <c r="Q88" s="93"/>
      <c r="R88" s="93"/>
      <c r="S88" s="93"/>
      <c r="T88" s="10">
        <f t="shared" ref="T88:BI88" si="64">$Q$64*T$58</f>
        <v>1.0372309295576301E-2</v>
      </c>
      <c r="U88" s="10">
        <f t="shared" si="64"/>
        <v>1.0535628262908617E-2</v>
      </c>
      <c r="V88" s="10">
        <f t="shared" si="64"/>
        <v>1.1598121906918012E-2</v>
      </c>
      <c r="W88" s="10">
        <f t="shared" si="64"/>
        <v>1.1969184061523894E-2</v>
      </c>
      <c r="X88" s="10">
        <f t="shared" si="64"/>
        <v>1.2296139422772197E-2</v>
      </c>
      <c r="Y88" s="10">
        <f t="shared" si="64"/>
        <v>1.2614081318424846E-2</v>
      </c>
      <c r="Z88" s="10">
        <f t="shared" si="64"/>
        <v>1.2952230043164235E-2</v>
      </c>
      <c r="AA88" s="10">
        <f t="shared" si="64"/>
        <v>1.329099179743648E-2</v>
      </c>
      <c r="AB88" s="10">
        <f t="shared" si="64"/>
        <v>1.3640612144722621E-2</v>
      </c>
      <c r="AC88" s="10">
        <f t="shared" si="64"/>
        <v>1.3990521596896959E-2</v>
      </c>
      <c r="AD88" s="10">
        <f t="shared" si="64"/>
        <v>1.4340218647959289E-2</v>
      </c>
      <c r="AE88" s="10">
        <f t="shared" si="64"/>
        <v>1.4689170032755468E-2</v>
      </c>
      <c r="AF88" s="10">
        <f t="shared" si="64"/>
        <v>1.5048939833623954E-2</v>
      </c>
      <c r="AG88" s="10">
        <f t="shared" si="64"/>
        <v>1.540767768961035E-2</v>
      </c>
      <c r="AH88" s="10">
        <f t="shared" si="64"/>
        <v>1.5777091932809927E-2</v>
      </c>
      <c r="AI88" s="10">
        <f t="shared" si="64"/>
        <v>1.6144669628100836E-2</v>
      </c>
      <c r="AJ88" s="10">
        <f t="shared" si="64"/>
        <v>1.6509611007320985E-2</v>
      </c>
      <c r="AK88" s="10">
        <f t="shared" si="64"/>
        <v>1.687133302395501E-2</v>
      </c>
      <c r="AL88" s="10">
        <f t="shared" si="64"/>
        <v>1.7229037827973307E-2</v>
      </c>
      <c r="AM88" s="10">
        <f t="shared" si="64"/>
        <v>1.7581914953750066E-2</v>
      </c>
      <c r="AN88" s="10">
        <f t="shared" si="64"/>
        <v>1.7929120460010991E-2</v>
      </c>
      <c r="AO88" s="10">
        <f t="shared" si="64"/>
        <v>1.8284327439174432E-2</v>
      </c>
      <c r="AP88" s="10">
        <f t="shared" si="64"/>
        <v>1.8618083060356123E-2</v>
      </c>
      <c r="AQ88" s="10">
        <f t="shared" si="64"/>
        <v>1.8958843391163018E-2</v>
      </c>
      <c r="AR88" s="10">
        <f t="shared" si="64"/>
        <v>1.9306624376577462E-2</v>
      </c>
      <c r="AS88" s="10">
        <f t="shared" si="64"/>
        <v>1.9646070924919313E-2</v>
      </c>
      <c r="AT88" s="10">
        <f t="shared" si="64"/>
        <v>1.997644164754642E-2</v>
      </c>
      <c r="AU88" s="10">
        <f t="shared" si="64"/>
        <v>2.0297004113154736E-2</v>
      </c>
      <c r="AV88" s="10">
        <f t="shared" si="64"/>
        <v>2.0623425783183266E-2</v>
      </c>
      <c r="AW88" s="10">
        <f t="shared" si="64"/>
        <v>2.0955652490542417E-2</v>
      </c>
      <c r="AX88" s="10">
        <f t="shared" si="64"/>
        <v>2.1293743765128447E-2</v>
      </c>
      <c r="AY88" s="10">
        <f t="shared" si="64"/>
        <v>2.1620538645947332E-2</v>
      </c>
      <c r="AZ88" s="10">
        <f t="shared" si="64"/>
        <v>2.1949463990235171E-2</v>
      </c>
      <c r="BA88" s="10">
        <f t="shared" si="64"/>
        <v>2.228339345971557E-2</v>
      </c>
      <c r="BB88" s="10">
        <f t="shared" si="64"/>
        <v>2.262240318494331E-2</v>
      </c>
      <c r="BC88" s="10">
        <f t="shared" si="64"/>
        <v>2.2966570454689871E-2</v>
      </c>
      <c r="BD88" s="10">
        <f t="shared" si="64"/>
        <v>2.3315973733564047E-2</v>
      </c>
      <c r="BE88" s="10">
        <f t="shared" si="64"/>
        <v>2.3689437746895838E-2</v>
      </c>
      <c r="BF88" s="10">
        <f t="shared" si="64"/>
        <v>2.4068883726533118E-2</v>
      </c>
      <c r="BG88" s="10">
        <f t="shared" si="64"/>
        <v>2.4454407488724853E-2</v>
      </c>
      <c r="BH88" s="10">
        <f t="shared" si="64"/>
        <v>2.4865766704543869E-2</v>
      </c>
      <c r="BI88" s="10">
        <f t="shared" si="64"/>
        <v>2.5284045589323061E-2</v>
      </c>
    </row>
    <row r="89" spans="1:61"/>
    <row r="90" spans="1:61" hidden="1"/>
    <row r="91" spans="1:61" hidden="1"/>
    <row r="92" spans="1:61" hidden="1"/>
    <row r="93" spans="1:61" hidden="1"/>
    <row r="94" spans="1:61" hidden="1"/>
  </sheetData>
  <mergeCells count="8">
    <mergeCell ref="P5:R5"/>
    <mergeCell ref="T5:V5"/>
    <mergeCell ref="A34:A35"/>
    <mergeCell ref="B34:B35"/>
    <mergeCell ref="A86:A87"/>
    <mergeCell ref="A84:V85"/>
    <mergeCell ref="A53:V54"/>
    <mergeCell ref="A30:V31"/>
  </mergeCells>
  <hyperlinks>
    <hyperlink ref="A55" location="Indeksacja!A29" display="Nota metodologiczna"/>
  </hyperlink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3"/>
  <sheetViews>
    <sheetView workbookViewId="0">
      <pane xSplit="2" ySplit="2" topLeftCell="K3" activePane="bottomRight" state="frozen"/>
      <selection pane="topRight" activeCell="C1" sqref="C1"/>
      <selection pane="bottomLeft" activeCell="A3" sqref="A3"/>
      <selection pane="bottomRight" activeCell="K3" sqref="K3"/>
    </sheetView>
  </sheetViews>
  <sheetFormatPr defaultColWidth="0" defaultRowHeight="15" customHeight="1" zeroHeight="1" outlineLevelRow="1" outlineLevelCol="1"/>
  <cols>
    <col min="1" max="1" width="20.7109375" style="236" customWidth="1"/>
    <col min="2" max="2" width="9.140625" style="236" customWidth="1"/>
    <col min="3" max="10" width="1.7109375" style="236" hidden="1" customWidth="1" outlineLevel="1"/>
    <col min="11" max="11" width="11.7109375" style="236" customWidth="1" collapsed="1"/>
    <col min="12" max="61" width="11.7109375" style="236" customWidth="1"/>
    <col min="62" max="62" width="9.140625" style="236" customWidth="1"/>
    <col min="63" max="16384" width="9.140625" style="236" hidden="1"/>
  </cols>
  <sheetData>
    <row r="1" spans="1:61" ht="21">
      <c r="A1" s="4" t="s">
        <v>334</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236" t="str">
        <f>Indeksacja!$A$2</f>
        <v>Dla roku bazowego 2022 właściwe do zastosowania w analizie są wartości kosztów jednostkowych określone według poziomu cenowego z końca roku poprzedniego, tzn. 2021.</v>
      </c>
    </row>
    <row r="3" spans="1:61" ht="15" customHeight="1"/>
    <row r="4" spans="1:61">
      <c r="A4" s="715" t="s">
        <v>760</v>
      </c>
      <c r="B4" s="715"/>
      <c r="C4" s="715"/>
      <c r="D4" s="715"/>
      <c r="E4" s="715"/>
      <c r="F4" s="715"/>
      <c r="G4" s="715"/>
      <c r="H4" s="715"/>
      <c r="I4" s="715"/>
      <c r="J4" s="715"/>
      <c r="K4" s="715"/>
      <c r="L4" s="715"/>
      <c r="M4" s="715"/>
      <c r="N4" s="715"/>
      <c r="O4" s="715"/>
      <c r="P4" s="715"/>
      <c r="Q4" s="715"/>
    </row>
    <row r="5" spans="1:61" s="690" customFormat="1">
      <c r="A5" s="715"/>
      <c r="B5" s="715"/>
      <c r="C5" s="715"/>
      <c r="D5" s="715"/>
      <c r="E5" s="715"/>
      <c r="F5" s="715"/>
      <c r="G5" s="715"/>
      <c r="H5" s="715"/>
      <c r="I5" s="715"/>
      <c r="J5" s="715"/>
      <c r="K5" s="715"/>
      <c r="L5" s="715"/>
      <c r="M5" s="715"/>
      <c r="N5" s="715"/>
      <c r="O5" s="715"/>
      <c r="P5" s="715"/>
      <c r="Q5" s="715"/>
    </row>
    <row r="6" spans="1:61" ht="15" hidden="1" customHeight="1" outlineLevel="1"/>
    <row r="7" spans="1:61" ht="15" hidden="1" customHeight="1" outlineLevel="1">
      <c r="A7" s="206" t="s">
        <v>770</v>
      </c>
    </row>
    <row r="8" spans="1:61" ht="15" hidden="1" customHeight="1" outlineLevel="1">
      <c r="A8" s="236" t="s">
        <v>401</v>
      </c>
    </row>
    <row r="9" spans="1:61" ht="15" hidden="1" customHeight="1" outlineLevel="1">
      <c r="A9" s="715" t="s">
        <v>761</v>
      </c>
      <c r="B9" s="715"/>
      <c r="C9" s="715"/>
      <c r="D9" s="715"/>
      <c r="E9" s="715"/>
      <c r="F9" s="715"/>
      <c r="G9" s="715"/>
      <c r="H9" s="715"/>
      <c r="I9" s="715"/>
      <c r="J9" s="715"/>
      <c r="K9" s="715"/>
      <c r="L9" s="715"/>
      <c r="M9" s="715"/>
      <c r="N9" s="715"/>
      <c r="O9" s="715"/>
      <c r="P9" s="715"/>
      <c r="Q9" s="715"/>
    </row>
    <row r="10" spans="1:61" s="694" customFormat="1" ht="15" hidden="1" customHeight="1" outlineLevel="1">
      <c r="A10" s="779"/>
      <c r="B10" s="779"/>
      <c r="C10" s="779"/>
      <c r="D10" s="779"/>
      <c r="E10" s="779"/>
      <c r="F10" s="779"/>
      <c r="G10" s="779"/>
      <c r="H10" s="779"/>
      <c r="I10" s="779"/>
      <c r="J10" s="779"/>
      <c r="K10" s="779"/>
      <c r="L10" s="779"/>
      <c r="M10" s="779"/>
      <c r="N10" s="779"/>
      <c r="O10" s="779"/>
      <c r="P10" s="779"/>
      <c r="Q10" s="779"/>
    </row>
    <row r="11" spans="1:61" ht="18" hidden="1" customHeight="1" outlineLevel="1">
      <c r="A11" s="814" t="s">
        <v>153</v>
      </c>
      <c r="B11" s="280"/>
      <c r="C11" s="280"/>
      <c r="D11" s="280"/>
      <c r="E11" s="280"/>
      <c r="F11" s="280"/>
      <c r="G11" s="280"/>
      <c r="H11" s="280"/>
      <c r="I11" s="280"/>
      <c r="J11" s="280"/>
      <c r="K11" s="280"/>
      <c r="L11" s="280"/>
      <c r="M11" s="280"/>
      <c r="N11" s="280"/>
      <c r="O11" s="280"/>
      <c r="P11" s="280" t="s">
        <v>154</v>
      </c>
      <c r="Q11" s="280" t="s">
        <v>150</v>
      </c>
      <c r="R11" s="280" t="s">
        <v>151</v>
      </c>
      <c r="S11" s="805" t="s">
        <v>149</v>
      </c>
      <c r="T11" s="806"/>
      <c r="U11" s="805" t="s">
        <v>152</v>
      </c>
      <c r="V11" s="807"/>
      <c r="W11" s="806"/>
      <c r="X11" s="280" t="s">
        <v>155</v>
      </c>
    </row>
    <row r="12" spans="1:61" ht="15" hidden="1" customHeight="1" outlineLevel="1">
      <c r="A12" s="814"/>
      <c r="B12" s="301"/>
      <c r="C12" s="301"/>
      <c r="D12" s="301"/>
      <c r="E12" s="301"/>
      <c r="F12" s="301"/>
      <c r="G12" s="301"/>
      <c r="H12" s="301"/>
      <c r="I12" s="301"/>
      <c r="J12" s="301"/>
      <c r="K12" s="301"/>
      <c r="L12" s="301"/>
      <c r="M12" s="301"/>
      <c r="N12" s="301"/>
      <c r="O12" s="301"/>
      <c r="P12" s="301"/>
      <c r="Q12" s="301"/>
      <c r="R12" s="301"/>
      <c r="S12" s="808" t="s">
        <v>156</v>
      </c>
      <c r="T12" s="809"/>
      <c r="U12" s="808" t="s">
        <v>156</v>
      </c>
      <c r="V12" s="810"/>
      <c r="W12" s="809"/>
      <c r="X12" s="301" t="s">
        <v>156</v>
      </c>
    </row>
    <row r="13" spans="1:61" ht="15" hidden="1" customHeight="1" outlineLevel="1">
      <c r="A13" s="814"/>
      <c r="B13" s="281"/>
      <c r="C13" s="281"/>
      <c r="D13" s="281"/>
      <c r="E13" s="281"/>
      <c r="F13" s="281"/>
      <c r="G13" s="281"/>
      <c r="H13" s="281"/>
      <c r="I13" s="281"/>
      <c r="J13" s="281"/>
      <c r="K13" s="281"/>
      <c r="L13" s="281"/>
      <c r="M13" s="281"/>
      <c r="N13" s="281"/>
      <c r="O13" s="281"/>
      <c r="P13" s="281"/>
      <c r="Q13" s="281"/>
      <c r="R13" s="281"/>
      <c r="S13" s="302" t="s">
        <v>157</v>
      </c>
      <c r="T13" s="303" t="s">
        <v>158</v>
      </c>
      <c r="U13" s="304" t="s">
        <v>159</v>
      </c>
      <c r="V13" s="305" t="s">
        <v>157</v>
      </c>
      <c r="W13" s="303" t="s">
        <v>158</v>
      </c>
      <c r="X13" s="306" t="s">
        <v>160</v>
      </c>
    </row>
    <row r="14" spans="1:61" ht="15" hidden="1" customHeight="1" outlineLevel="1">
      <c r="A14" s="307" t="s">
        <v>161</v>
      </c>
      <c r="B14" s="308"/>
      <c r="C14" s="308"/>
      <c r="D14" s="308"/>
      <c r="E14" s="308"/>
      <c r="F14" s="308"/>
      <c r="G14" s="308"/>
      <c r="H14" s="308"/>
      <c r="I14" s="308"/>
      <c r="J14" s="308"/>
      <c r="K14" s="700"/>
      <c r="L14" s="700"/>
      <c r="M14" s="700"/>
      <c r="N14" s="700"/>
      <c r="O14" s="700"/>
      <c r="P14" s="308">
        <v>17.5</v>
      </c>
      <c r="Q14" s="308">
        <v>1.2</v>
      </c>
      <c r="R14" s="308">
        <v>10.9</v>
      </c>
      <c r="S14" s="309">
        <v>21.3</v>
      </c>
      <c r="T14" s="310">
        <v>12.6</v>
      </c>
      <c r="U14" s="311">
        <v>381</v>
      </c>
      <c r="V14" s="312">
        <v>123</v>
      </c>
      <c r="W14" s="313">
        <v>70</v>
      </c>
      <c r="X14" s="308">
        <v>22.3</v>
      </c>
    </row>
    <row r="15" spans="1:61" ht="15" hidden="1" customHeight="1" outlineLevel="1">
      <c r="A15" s="314" t="s">
        <v>162</v>
      </c>
      <c r="B15" s="315"/>
      <c r="C15" s="315"/>
      <c r="D15" s="315"/>
      <c r="E15" s="315"/>
      <c r="F15" s="315"/>
      <c r="G15" s="315"/>
      <c r="H15" s="315"/>
      <c r="I15" s="315"/>
      <c r="J15" s="315"/>
      <c r="K15" s="701"/>
      <c r="L15" s="701"/>
      <c r="M15" s="701"/>
      <c r="N15" s="701"/>
      <c r="O15" s="701"/>
      <c r="P15" s="315">
        <v>14.4</v>
      </c>
      <c r="Q15" s="315">
        <v>0.7</v>
      </c>
      <c r="R15" s="315">
        <v>8.1999999999999993</v>
      </c>
      <c r="S15" s="316">
        <v>14.7</v>
      </c>
      <c r="T15" s="317">
        <v>8.9</v>
      </c>
      <c r="U15" s="318">
        <v>282</v>
      </c>
      <c r="V15" s="319">
        <v>91</v>
      </c>
      <c r="W15" s="320">
        <v>52</v>
      </c>
      <c r="X15" s="315">
        <v>5.2</v>
      </c>
    </row>
    <row r="16" spans="1:61" s="561" customFormat="1" ht="15" hidden="1" customHeight="1" outlineLevel="1">
      <c r="A16" s="35" t="s">
        <v>777</v>
      </c>
      <c r="B16" s="562"/>
      <c r="C16" s="562"/>
      <c r="D16" s="562"/>
      <c r="E16" s="562"/>
      <c r="F16" s="562"/>
      <c r="G16" s="562"/>
      <c r="H16" s="562"/>
      <c r="I16" s="562"/>
      <c r="J16" s="562"/>
      <c r="K16" s="562"/>
      <c r="L16" s="562"/>
      <c r="M16" s="562"/>
      <c r="N16" s="562"/>
      <c r="O16" s="562"/>
      <c r="P16" s="562"/>
      <c r="Q16" s="562"/>
      <c r="R16" s="562"/>
      <c r="S16" s="562"/>
      <c r="T16" s="562"/>
      <c r="U16" s="563"/>
      <c r="V16" s="563"/>
      <c r="W16" s="563"/>
      <c r="X16" s="562"/>
    </row>
    <row r="17" spans="1:21" ht="15" hidden="1" customHeight="1" outlineLevel="1">
      <c r="A17" s="321" t="s">
        <v>763</v>
      </c>
    </row>
    <row r="18" spans="1:21" ht="18" hidden="1" customHeight="1" outlineLevel="1">
      <c r="A18" s="321" t="s">
        <v>762</v>
      </c>
    </row>
    <row r="19" spans="1:21" ht="15" hidden="1" customHeight="1" outlineLevel="1">
      <c r="A19" s="715" t="s">
        <v>764</v>
      </c>
      <c r="B19" s="715"/>
      <c r="C19" s="715"/>
      <c r="D19" s="715"/>
      <c r="E19" s="715"/>
      <c r="F19" s="715"/>
      <c r="G19" s="715"/>
      <c r="H19" s="715"/>
      <c r="I19" s="715"/>
      <c r="J19" s="715"/>
      <c r="K19" s="715"/>
      <c r="L19" s="715"/>
      <c r="M19" s="715"/>
      <c r="N19" s="715"/>
      <c r="O19" s="715"/>
      <c r="P19" s="715"/>
      <c r="Q19" s="715"/>
    </row>
    <row r="20" spans="1:21" s="694" customFormat="1" ht="15" hidden="1" customHeight="1" outlineLevel="1">
      <c r="A20" s="715"/>
      <c r="B20" s="715"/>
      <c r="C20" s="715"/>
      <c r="D20" s="715"/>
      <c r="E20" s="715"/>
      <c r="F20" s="715"/>
      <c r="G20" s="715"/>
      <c r="H20" s="715"/>
      <c r="I20" s="715"/>
      <c r="J20" s="715"/>
      <c r="K20" s="715"/>
      <c r="L20" s="715"/>
      <c r="M20" s="715"/>
      <c r="N20" s="715"/>
      <c r="O20" s="715"/>
      <c r="P20" s="715"/>
      <c r="Q20" s="715"/>
    </row>
    <row r="21" spans="1:21" ht="15" hidden="1" customHeight="1" outlineLevel="1">
      <c r="A21" s="236" t="s">
        <v>163</v>
      </c>
    </row>
    <row r="22" spans="1:21" ht="15" hidden="1" customHeight="1" outlineLevel="1">
      <c r="A22" s="715" t="s">
        <v>765</v>
      </c>
      <c r="B22" s="715"/>
      <c r="C22" s="715"/>
      <c r="D22" s="715"/>
      <c r="E22" s="715"/>
      <c r="F22" s="715"/>
      <c r="G22" s="715"/>
      <c r="H22" s="715"/>
      <c r="I22" s="715"/>
      <c r="J22" s="715"/>
      <c r="K22" s="715"/>
      <c r="L22" s="715"/>
      <c r="M22" s="715"/>
      <c r="N22" s="715"/>
      <c r="O22" s="715"/>
      <c r="P22" s="715"/>
      <c r="Q22" s="715"/>
    </row>
    <row r="23" spans="1:21" s="694" customFormat="1" ht="15" hidden="1" customHeight="1" outlineLevel="1">
      <c r="A23" s="715"/>
      <c r="B23" s="715"/>
      <c r="C23" s="715"/>
      <c r="D23" s="715"/>
      <c r="E23" s="715"/>
      <c r="F23" s="715"/>
      <c r="G23" s="715"/>
      <c r="H23" s="715"/>
      <c r="I23" s="715"/>
      <c r="J23" s="715"/>
      <c r="K23" s="715"/>
      <c r="L23" s="715"/>
      <c r="M23" s="715"/>
      <c r="N23" s="715"/>
      <c r="O23" s="715"/>
      <c r="P23" s="715"/>
      <c r="Q23" s="715"/>
    </row>
    <row r="24" spans="1:21" s="694" customFormat="1" ht="15" hidden="1" customHeight="1" outlineLevel="1">
      <c r="A24" s="715"/>
      <c r="B24" s="715"/>
      <c r="C24" s="715"/>
      <c r="D24" s="715"/>
      <c r="E24" s="715"/>
      <c r="F24" s="715"/>
      <c r="G24" s="715"/>
      <c r="H24" s="715"/>
      <c r="I24" s="715"/>
      <c r="J24" s="715"/>
      <c r="K24" s="715"/>
      <c r="L24" s="715"/>
      <c r="M24" s="715"/>
      <c r="N24" s="715"/>
      <c r="O24" s="715"/>
      <c r="P24" s="715"/>
      <c r="Q24" s="715"/>
    </row>
    <row r="25" spans="1:21" ht="15" hidden="1" customHeight="1" outlineLevel="1"/>
    <row r="26" spans="1:21" s="694" customFormat="1" ht="15" hidden="1" customHeight="1" outlineLevel="1">
      <c r="A26" s="715" t="s">
        <v>771</v>
      </c>
      <c r="B26" s="715"/>
      <c r="C26" s="715"/>
      <c r="D26" s="715"/>
      <c r="E26" s="715"/>
      <c r="F26" s="715"/>
      <c r="G26" s="715"/>
      <c r="H26" s="715"/>
      <c r="I26" s="715"/>
      <c r="J26" s="715"/>
      <c r="K26" s="715"/>
      <c r="L26" s="715"/>
      <c r="M26" s="715"/>
      <c r="N26" s="715"/>
      <c r="O26" s="715"/>
      <c r="P26" s="715"/>
      <c r="Q26" s="715"/>
    </row>
    <row r="27" spans="1:21" s="694" customFormat="1" ht="15" hidden="1" customHeight="1" outlineLevel="1">
      <c r="A27" s="715"/>
      <c r="B27" s="715"/>
      <c r="C27" s="715"/>
      <c r="D27" s="715"/>
      <c r="E27" s="715"/>
      <c r="F27" s="715"/>
      <c r="G27" s="715"/>
      <c r="H27" s="715"/>
      <c r="I27" s="715"/>
      <c r="J27" s="715"/>
      <c r="K27" s="715"/>
      <c r="L27" s="715"/>
      <c r="M27" s="715"/>
      <c r="N27" s="715"/>
      <c r="O27" s="715"/>
      <c r="P27" s="715"/>
      <c r="Q27" s="715"/>
    </row>
    <row r="28" spans="1:21" s="694" customFormat="1" ht="15" hidden="1" customHeight="1" outlineLevel="1">
      <c r="A28" s="695" t="s">
        <v>153</v>
      </c>
      <c r="B28" s="697"/>
      <c r="C28" s="697"/>
      <c r="D28" s="697"/>
      <c r="E28" s="697"/>
      <c r="F28" s="697"/>
      <c r="G28" s="697"/>
      <c r="H28" s="697"/>
      <c r="I28" s="697"/>
      <c r="J28" s="697"/>
      <c r="K28" s="697"/>
      <c r="L28" s="697"/>
      <c r="M28" s="697"/>
      <c r="N28" s="697"/>
      <c r="O28" s="697"/>
      <c r="P28" s="697" t="s">
        <v>154</v>
      </c>
      <c r="Q28" s="697" t="s">
        <v>150</v>
      </c>
      <c r="R28" s="697" t="s">
        <v>151</v>
      </c>
      <c r="S28" s="697" t="s">
        <v>149</v>
      </c>
      <c r="T28" s="697" t="s">
        <v>152</v>
      </c>
      <c r="U28" s="697" t="s">
        <v>155</v>
      </c>
    </row>
    <row r="29" spans="1:21" s="694" customFormat="1" ht="15" hidden="1" customHeight="1" outlineLevel="1">
      <c r="A29" s="698" t="s">
        <v>772</v>
      </c>
      <c r="B29" s="699"/>
      <c r="C29" s="699"/>
      <c r="D29" s="699"/>
      <c r="E29" s="699"/>
      <c r="F29" s="699"/>
      <c r="G29" s="699"/>
      <c r="H29" s="699"/>
      <c r="I29" s="699"/>
      <c r="J29" s="699"/>
      <c r="K29" s="702"/>
      <c r="L29" s="702"/>
      <c r="M29" s="702"/>
      <c r="N29" s="702"/>
      <c r="O29" s="702"/>
      <c r="P29" s="699">
        <v>0</v>
      </c>
      <c r="Q29" s="699">
        <v>0.4</v>
      </c>
      <c r="R29" s="699">
        <v>3.5</v>
      </c>
      <c r="S29" s="699">
        <v>3.8</v>
      </c>
      <c r="T29" s="699">
        <v>7.2</v>
      </c>
      <c r="U29" s="699">
        <v>4.0999999999999996</v>
      </c>
    </row>
    <row r="30" spans="1:21" s="694" customFormat="1" ht="15" hidden="1" customHeight="1" outlineLevel="1">
      <c r="A30" s="698" t="s">
        <v>773</v>
      </c>
      <c r="B30" s="699"/>
      <c r="C30" s="699"/>
      <c r="D30" s="699"/>
      <c r="E30" s="699"/>
      <c r="F30" s="699"/>
      <c r="G30" s="699"/>
      <c r="H30" s="699"/>
      <c r="I30" s="699"/>
      <c r="J30" s="699"/>
      <c r="K30" s="702"/>
      <c r="L30" s="702"/>
      <c r="M30" s="702"/>
      <c r="N30" s="702"/>
      <c r="O30" s="702"/>
      <c r="P30" s="699">
        <v>0</v>
      </c>
      <c r="Q30" s="699">
        <v>1</v>
      </c>
      <c r="R30" s="699">
        <v>6.9</v>
      </c>
      <c r="S30" s="699">
        <v>7.9</v>
      </c>
      <c r="T30" s="699">
        <v>18.3</v>
      </c>
      <c r="U30" s="699">
        <v>10.4</v>
      </c>
    </row>
    <row r="31" spans="1:21" s="694" customFormat="1" ht="15" hidden="1" customHeight="1" outlineLevel="1">
      <c r="A31" s="698" t="s">
        <v>774</v>
      </c>
      <c r="B31" s="699"/>
      <c r="C31" s="699"/>
      <c r="D31" s="699"/>
      <c r="E31" s="699"/>
      <c r="F31" s="699"/>
      <c r="G31" s="699"/>
      <c r="H31" s="699"/>
      <c r="I31" s="699"/>
      <c r="J31" s="699"/>
      <c r="K31" s="702"/>
      <c r="L31" s="702"/>
      <c r="M31" s="702"/>
      <c r="N31" s="702"/>
      <c r="O31" s="702"/>
      <c r="P31" s="699">
        <v>0</v>
      </c>
      <c r="Q31" s="699">
        <v>0.2</v>
      </c>
      <c r="R31" s="699">
        <v>11.1</v>
      </c>
      <c r="S31" s="699">
        <v>7.8</v>
      </c>
      <c r="T31" s="699">
        <v>30</v>
      </c>
      <c r="U31" s="699">
        <v>17.100000000000001</v>
      </c>
    </row>
    <row r="32" spans="1:21" s="694" customFormat="1" ht="15" hidden="1" customHeight="1" outlineLevel="1">
      <c r="A32" s="698" t="s">
        <v>775</v>
      </c>
      <c r="B32" s="699"/>
      <c r="C32" s="699"/>
      <c r="D32" s="699"/>
      <c r="E32" s="699"/>
      <c r="F32" s="699"/>
      <c r="G32" s="699"/>
      <c r="H32" s="699"/>
      <c r="I32" s="699"/>
      <c r="J32" s="699"/>
      <c r="K32" s="702"/>
      <c r="L32" s="702"/>
      <c r="M32" s="702"/>
      <c r="N32" s="702"/>
      <c r="O32" s="702"/>
      <c r="P32" s="699">
        <v>0</v>
      </c>
      <c r="Q32" s="699">
        <v>0.5</v>
      </c>
      <c r="R32" s="699">
        <v>9.1999999999999993</v>
      </c>
      <c r="S32" s="699">
        <v>3</v>
      </c>
      <c r="T32" s="699">
        <v>24.6</v>
      </c>
      <c r="U32" s="699">
        <v>14</v>
      </c>
    </row>
    <row r="33" spans="1:21" s="694" customFormat="1" ht="15" hidden="1" customHeight="1" outlineLevel="1">
      <c r="A33" s="698" t="s">
        <v>776</v>
      </c>
      <c r="B33" s="699"/>
      <c r="C33" s="699"/>
      <c r="D33" s="699"/>
      <c r="E33" s="699"/>
      <c r="F33" s="699"/>
      <c r="G33" s="699"/>
      <c r="H33" s="699"/>
      <c r="I33" s="699"/>
      <c r="J33" s="699"/>
      <c r="K33" s="702"/>
      <c r="L33" s="702"/>
      <c r="M33" s="702"/>
      <c r="N33" s="702"/>
      <c r="O33" s="702"/>
      <c r="P33" s="699">
        <v>0</v>
      </c>
      <c r="Q33" s="699">
        <v>2.2999999999999998</v>
      </c>
      <c r="R33" s="699">
        <v>10.5</v>
      </c>
      <c r="S33" s="699">
        <v>10.7</v>
      </c>
      <c r="T33" s="699">
        <v>34.4</v>
      </c>
      <c r="U33" s="699">
        <v>19.7</v>
      </c>
    </row>
    <row r="34" spans="1:21" s="694" customFormat="1" ht="15" hidden="1" customHeight="1" outlineLevel="1"/>
    <row r="35" spans="1:21" s="369" customFormat="1" ht="15" hidden="1" customHeight="1" outlineLevel="1">
      <c r="A35" s="369" t="s">
        <v>246</v>
      </c>
      <c r="B35" s="165">
        <f>10^3</f>
        <v>1000</v>
      </c>
    </row>
    <row r="36" spans="1:21" s="369" customFormat="1" ht="15" hidden="1" customHeight="1" outlineLevel="1"/>
    <row r="37" spans="1:21" s="369" customFormat="1" ht="15" hidden="1" customHeight="1" outlineLevel="1">
      <c r="A37" s="9" t="s">
        <v>2</v>
      </c>
      <c r="B37" s="6"/>
      <c r="C37" s="6"/>
      <c r="D37" s="6"/>
      <c r="E37" s="6"/>
      <c r="F37" s="6"/>
      <c r="G37" s="6"/>
      <c r="H37" s="6"/>
      <c r="I37" s="6"/>
      <c r="J37" s="6"/>
      <c r="K37" s="6"/>
      <c r="L37" s="6"/>
      <c r="M37" s="6"/>
      <c r="N37" s="6"/>
      <c r="O37" s="6"/>
      <c r="P37" s="6"/>
      <c r="Q37" s="6">
        <v>2016</v>
      </c>
    </row>
    <row r="38" spans="1:21" s="369" customFormat="1" ht="15" hidden="1" customHeight="1" outlineLevel="1">
      <c r="A38" s="8" t="s">
        <v>3</v>
      </c>
      <c r="B38" s="12"/>
      <c r="C38" s="12"/>
      <c r="D38" s="12"/>
      <c r="E38" s="12"/>
      <c r="F38" s="12"/>
      <c r="G38" s="12"/>
      <c r="H38" s="12"/>
      <c r="I38" s="12"/>
      <c r="J38" s="12"/>
      <c r="K38" s="12"/>
      <c r="L38" s="12"/>
      <c r="M38" s="12"/>
      <c r="N38" s="12"/>
      <c r="O38" s="12"/>
      <c r="P38" s="12"/>
      <c r="Q38" s="11">
        <f>Indeksacja!$Q$41</f>
        <v>4.3632</v>
      </c>
    </row>
    <row r="39" spans="1:21" s="369" customFormat="1" ht="15" hidden="1" customHeight="1" outlineLevel="1">
      <c r="A39" s="35" t="str">
        <f>Indeksacja!$A$42</f>
        <v>Źródło: ECB, http://sdw.ecb.europa.eu/quickview.do?SERIES_KEY=120.EXR.A.PLN.EUR.SP00.A</v>
      </c>
    </row>
    <row r="40" spans="1:21" s="369" customFormat="1" ht="15" hidden="1" customHeight="1" outlineLevel="1"/>
    <row r="41" spans="1:21" s="490" customFormat="1" ht="15" hidden="1" customHeight="1" outlineLevel="1">
      <c r="A41" s="9" t="s">
        <v>589</v>
      </c>
      <c r="B41" s="6"/>
      <c r="C41" s="6"/>
      <c r="D41" s="6"/>
      <c r="E41" s="6"/>
      <c r="F41" s="6"/>
      <c r="G41" s="6"/>
      <c r="H41" s="6"/>
      <c r="I41" s="6"/>
      <c r="J41" s="6"/>
      <c r="K41" s="6"/>
      <c r="L41" s="6"/>
      <c r="M41" s="6"/>
      <c r="N41" s="6"/>
      <c r="O41" s="6"/>
      <c r="P41" s="6"/>
      <c r="Q41" s="6">
        <v>2016</v>
      </c>
    </row>
    <row r="42" spans="1:21" s="490" customFormat="1" ht="15" hidden="1" customHeight="1" outlineLevel="1">
      <c r="A42" s="8" t="s">
        <v>80</v>
      </c>
      <c r="B42" s="503"/>
      <c r="C42" s="503"/>
      <c r="D42" s="503"/>
      <c r="E42" s="503"/>
      <c r="F42" s="503"/>
      <c r="G42" s="503"/>
      <c r="H42" s="503"/>
      <c r="I42" s="503"/>
      <c r="J42" s="503"/>
      <c r="K42" s="503"/>
      <c r="L42" s="503"/>
      <c r="M42" s="503"/>
      <c r="N42" s="503"/>
      <c r="O42" s="503"/>
      <c r="P42" s="503"/>
      <c r="Q42" s="489">
        <f>Indeksacja!$Q$44</f>
        <v>68.2</v>
      </c>
    </row>
    <row r="43" spans="1:21" s="490" customFormat="1" ht="15" hidden="1" customHeight="1" outlineLevel="1">
      <c r="A43" s="35" t="str">
        <f>Indeksacja!$A$45</f>
        <v>Źródło: Eurostat, https://ec.europa.eu/eurostat/data/database Main GDP aggregates per capita [nama_10_pc] (aktualizacja 28.01.2022)</v>
      </c>
    </row>
    <row r="44" spans="1:21" s="613" customFormat="1" ht="15" hidden="1" customHeight="1" outlineLevel="1">
      <c r="A44" s="91"/>
    </row>
    <row r="45" spans="1:21" s="613" customFormat="1" ht="15" hidden="1" customHeight="1" outlineLevel="1">
      <c r="A45" s="749" t="str">
        <f>'VoT czas ładunki'!$A$41</f>
        <v xml:space="preserve">Wyjaśnienie w sprawie przeliczenia wyjściowych wartości kosztów jednostkowych z zastosowaniem kursu walutowego PLN/EUR oraz PKB Polski per capita w jednostkach siły nabywczej (PPS): </v>
      </c>
      <c r="B45" s="749"/>
      <c r="C45" s="749"/>
      <c r="D45" s="749"/>
      <c r="E45" s="749"/>
      <c r="F45" s="749"/>
      <c r="G45" s="749"/>
      <c r="H45" s="749"/>
      <c r="I45" s="749"/>
      <c r="J45" s="749"/>
      <c r="K45" s="749"/>
      <c r="L45" s="749"/>
      <c r="M45" s="749"/>
      <c r="N45" s="749"/>
      <c r="O45" s="749"/>
      <c r="P45" s="749"/>
      <c r="Q45" s="749"/>
    </row>
    <row r="46" spans="1:21" s="694" customFormat="1" ht="15" hidden="1" customHeight="1" outlineLevel="1">
      <c r="A46" s="749"/>
      <c r="B46" s="749"/>
      <c r="C46" s="749"/>
      <c r="D46" s="749"/>
      <c r="E46" s="749"/>
      <c r="F46" s="749"/>
      <c r="G46" s="749"/>
      <c r="H46" s="749"/>
      <c r="I46" s="749"/>
      <c r="J46" s="749"/>
      <c r="K46" s="749"/>
      <c r="L46" s="749"/>
      <c r="M46" s="749"/>
      <c r="N46" s="749"/>
      <c r="O46" s="749"/>
      <c r="P46" s="749"/>
      <c r="Q46" s="749"/>
    </row>
    <row r="47" spans="1:21" s="613" customFormat="1" ht="15" hidden="1" customHeight="1" outlineLevel="1">
      <c r="A47" s="536" t="s">
        <v>531</v>
      </c>
    </row>
    <row r="48" spans="1:21" s="490" customFormat="1" ht="15" customHeight="1" collapsed="1"/>
    <row r="49" spans="1:61">
      <c r="A49" s="811" t="s">
        <v>766</v>
      </c>
      <c r="B49" s="811"/>
      <c r="C49" s="811"/>
      <c r="D49" s="811"/>
      <c r="E49" s="811"/>
      <c r="F49" s="811"/>
      <c r="G49" s="811"/>
      <c r="H49" s="811"/>
      <c r="I49" s="811"/>
      <c r="J49" s="811"/>
      <c r="K49" s="811"/>
      <c r="L49" s="811"/>
      <c r="M49" s="811"/>
      <c r="N49" s="811"/>
      <c r="O49" s="811"/>
      <c r="P49" s="811"/>
      <c r="Q49" s="811"/>
    </row>
    <row r="50" spans="1:61" s="690" customFormat="1">
      <c r="A50" s="789"/>
      <c r="B50" s="789"/>
      <c r="C50" s="789"/>
      <c r="D50" s="789"/>
      <c r="E50" s="789"/>
      <c r="F50" s="789"/>
      <c r="G50" s="789"/>
      <c r="H50" s="789"/>
      <c r="I50" s="789"/>
      <c r="J50" s="789"/>
      <c r="K50" s="789"/>
      <c r="L50" s="789"/>
      <c r="M50" s="789"/>
      <c r="N50" s="789"/>
      <c r="O50" s="789"/>
      <c r="P50" s="789"/>
      <c r="Q50" s="789"/>
    </row>
    <row r="51" spans="1:61" s="534" customFormat="1">
      <c r="A51" s="812"/>
      <c r="B51" s="685" t="s">
        <v>328</v>
      </c>
      <c r="C51" s="671"/>
      <c r="D51" s="671"/>
      <c r="E51" s="671"/>
      <c r="F51" s="671"/>
      <c r="G51" s="671"/>
      <c r="H51" s="671"/>
      <c r="I51" s="671"/>
      <c r="J51" s="671"/>
      <c r="K51" s="671"/>
      <c r="L51" s="671"/>
      <c r="M51" s="671"/>
      <c r="N51" s="671"/>
      <c r="O51" s="671"/>
      <c r="P51" s="671"/>
      <c r="Q51" s="6"/>
      <c r="R51" s="6"/>
      <c r="S51" s="6"/>
      <c r="T51" s="6">
        <v>2020</v>
      </c>
      <c r="U51" s="6">
        <f>T51+1</f>
        <v>2021</v>
      </c>
      <c r="V51" s="6">
        <f t="shared" ref="V51:BI51" si="0">U51+1</f>
        <v>2022</v>
      </c>
      <c r="W51" s="6">
        <f t="shared" si="0"/>
        <v>2023</v>
      </c>
      <c r="X51" s="6">
        <f t="shared" si="0"/>
        <v>2024</v>
      </c>
      <c r="Y51" s="6">
        <f t="shared" si="0"/>
        <v>2025</v>
      </c>
      <c r="Z51" s="6">
        <f t="shared" si="0"/>
        <v>2026</v>
      </c>
      <c r="AA51" s="6">
        <f t="shared" si="0"/>
        <v>2027</v>
      </c>
      <c r="AB51" s="6">
        <f t="shared" si="0"/>
        <v>2028</v>
      </c>
      <c r="AC51" s="6">
        <f t="shared" si="0"/>
        <v>2029</v>
      </c>
      <c r="AD51" s="6">
        <f t="shared" si="0"/>
        <v>2030</v>
      </c>
      <c r="AE51" s="6">
        <f t="shared" si="0"/>
        <v>2031</v>
      </c>
      <c r="AF51" s="6">
        <f t="shared" si="0"/>
        <v>2032</v>
      </c>
      <c r="AG51" s="6">
        <f t="shared" si="0"/>
        <v>2033</v>
      </c>
      <c r="AH51" s="6">
        <f t="shared" si="0"/>
        <v>2034</v>
      </c>
      <c r="AI51" s="6">
        <f t="shared" si="0"/>
        <v>2035</v>
      </c>
      <c r="AJ51" s="6">
        <f t="shared" si="0"/>
        <v>2036</v>
      </c>
      <c r="AK51" s="6">
        <f t="shared" si="0"/>
        <v>2037</v>
      </c>
      <c r="AL51" s="6">
        <f t="shared" si="0"/>
        <v>2038</v>
      </c>
      <c r="AM51" s="6">
        <f t="shared" si="0"/>
        <v>2039</v>
      </c>
      <c r="AN51" s="6">
        <f t="shared" si="0"/>
        <v>2040</v>
      </c>
      <c r="AO51" s="6">
        <f t="shared" si="0"/>
        <v>2041</v>
      </c>
      <c r="AP51" s="6">
        <f t="shared" si="0"/>
        <v>2042</v>
      </c>
      <c r="AQ51" s="6">
        <f t="shared" si="0"/>
        <v>2043</v>
      </c>
      <c r="AR51" s="6">
        <f t="shared" si="0"/>
        <v>2044</v>
      </c>
      <c r="AS51" s="6">
        <f t="shared" si="0"/>
        <v>2045</v>
      </c>
      <c r="AT51" s="6">
        <f t="shared" si="0"/>
        <v>2046</v>
      </c>
      <c r="AU51" s="6">
        <f t="shared" si="0"/>
        <v>2047</v>
      </c>
      <c r="AV51" s="6">
        <f t="shared" si="0"/>
        <v>2048</v>
      </c>
      <c r="AW51" s="6">
        <f t="shared" si="0"/>
        <v>2049</v>
      </c>
      <c r="AX51" s="6">
        <f t="shared" si="0"/>
        <v>2050</v>
      </c>
      <c r="AY51" s="6">
        <f t="shared" si="0"/>
        <v>2051</v>
      </c>
      <c r="AZ51" s="6">
        <f t="shared" si="0"/>
        <v>2052</v>
      </c>
      <c r="BA51" s="6">
        <f t="shared" si="0"/>
        <v>2053</v>
      </c>
      <c r="BB51" s="6">
        <f t="shared" si="0"/>
        <v>2054</v>
      </c>
      <c r="BC51" s="6">
        <f t="shared" si="0"/>
        <v>2055</v>
      </c>
      <c r="BD51" s="6">
        <f t="shared" si="0"/>
        <v>2056</v>
      </c>
      <c r="BE51" s="6">
        <f t="shared" si="0"/>
        <v>2057</v>
      </c>
      <c r="BF51" s="6">
        <f t="shared" si="0"/>
        <v>2058</v>
      </c>
      <c r="BG51" s="6">
        <f t="shared" si="0"/>
        <v>2059</v>
      </c>
      <c r="BH51" s="6">
        <f t="shared" si="0"/>
        <v>2060</v>
      </c>
      <c r="BI51" s="6">
        <f t="shared" si="0"/>
        <v>2061</v>
      </c>
    </row>
    <row r="52" spans="1:61">
      <c r="A52" s="813"/>
      <c r="B52" s="686" t="s">
        <v>530</v>
      </c>
      <c r="C52" s="669"/>
      <c r="D52" s="669"/>
      <c r="E52" s="669"/>
      <c r="F52" s="669"/>
      <c r="G52" s="669"/>
      <c r="H52" s="669"/>
      <c r="I52" s="669"/>
      <c r="J52" s="669"/>
      <c r="K52" s="669"/>
      <c r="L52" s="669"/>
      <c r="M52" s="669"/>
      <c r="N52" s="669"/>
      <c r="O52" s="669"/>
      <c r="P52" s="669"/>
      <c r="Q52" s="683">
        <f>DATE(2016,12,31)</f>
        <v>42735</v>
      </c>
      <c r="R52" s="683">
        <f>DATE(YEAR(Q52+1),12,31)</f>
        <v>43100</v>
      </c>
      <c r="S52" s="683">
        <f t="shared" ref="S52" si="1">DATE(YEAR(R52+1),12,31)</f>
        <v>43465</v>
      </c>
      <c r="T52" s="683">
        <f>DATE(YEAR(S52+1),12,31)</f>
        <v>43830</v>
      </c>
      <c r="U52" s="683">
        <f t="shared" ref="U52:BI52" si="2">DATE(YEAR(T52+1),12,31)</f>
        <v>44196</v>
      </c>
      <c r="V52" s="683">
        <f t="shared" si="2"/>
        <v>44561</v>
      </c>
      <c r="W52" s="683">
        <f t="shared" si="2"/>
        <v>44926</v>
      </c>
      <c r="X52" s="683">
        <f t="shared" si="2"/>
        <v>45291</v>
      </c>
      <c r="Y52" s="683">
        <f t="shared" si="2"/>
        <v>45657</v>
      </c>
      <c r="Z52" s="683">
        <f t="shared" si="2"/>
        <v>46022</v>
      </c>
      <c r="AA52" s="683">
        <f t="shared" si="2"/>
        <v>46387</v>
      </c>
      <c r="AB52" s="683">
        <f t="shared" si="2"/>
        <v>46752</v>
      </c>
      <c r="AC52" s="683">
        <f t="shared" si="2"/>
        <v>47118</v>
      </c>
      <c r="AD52" s="683">
        <f t="shared" si="2"/>
        <v>47483</v>
      </c>
      <c r="AE52" s="683">
        <f t="shared" si="2"/>
        <v>47848</v>
      </c>
      <c r="AF52" s="683">
        <f t="shared" si="2"/>
        <v>48213</v>
      </c>
      <c r="AG52" s="683">
        <f t="shared" si="2"/>
        <v>48579</v>
      </c>
      <c r="AH52" s="683">
        <f t="shared" si="2"/>
        <v>48944</v>
      </c>
      <c r="AI52" s="683">
        <f t="shared" si="2"/>
        <v>49309</v>
      </c>
      <c r="AJ52" s="683">
        <f t="shared" si="2"/>
        <v>49674</v>
      </c>
      <c r="AK52" s="683">
        <f t="shared" si="2"/>
        <v>50040</v>
      </c>
      <c r="AL52" s="683">
        <f t="shared" si="2"/>
        <v>50405</v>
      </c>
      <c r="AM52" s="683">
        <f t="shared" si="2"/>
        <v>50770</v>
      </c>
      <c r="AN52" s="683">
        <f t="shared" si="2"/>
        <v>51135</v>
      </c>
      <c r="AO52" s="683">
        <f t="shared" si="2"/>
        <v>51501</v>
      </c>
      <c r="AP52" s="683">
        <f t="shared" si="2"/>
        <v>51866</v>
      </c>
      <c r="AQ52" s="683">
        <f t="shared" si="2"/>
        <v>52231</v>
      </c>
      <c r="AR52" s="683">
        <f t="shared" si="2"/>
        <v>52596</v>
      </c>
      <c r="AS52" s="683">
        <f t="shared" si="2"/>
        <v>52962</v>
      </c>
      <c r="AT52" s="683">
        <f t="shared" si="2"/>
        <v>53327</v>
      </c>
      <c r="AU52" s="683">
        <f t="shared" si="2"/>
        <v>53692</v>
      </c>
      <c r="AV52" s="683">
        <f t="shared" si="2"/>
        <v>54057</v>
      </c>
      <c r="AW52" s="683">
        <f t="shared" si="2"/>
        <v>54423</v>
      </c>
      <c r="AX52" s="683">
        <f t="shared" si="2"/>
        <v>54788</v>
      </c>
      <c r="AY52" s="683">
        <f t="shared" si="2"/>
        <v>55153</v>
      </c>
      <c r="AZ52" s="683">
        <f t="shared" si="2"/>
        <v>55518</v>
      </c>
      <c r="BA52" s="683">
        <f t="shared" si="2"/>
        <v>55884</v>
      </c>
      <c r="BB52" s="683">
        <f t="shared" si="2"/>
        <v>56249</v>
      </c>
      <c r="BC52" s="683">
        <f t="shared" si="2"/>
        <v>56614</v>
      </c>
      <c r="BD52" s="683">
        <f t="shared" si="2"/>
        <v>56979</v>
      </c>
      <c r="BE52" s="683">
        <f t="shared" si="2"/>
        <v>57345</v>
      </c>
      <c r="BF52" s="683">
        <f t="shared" si="2"/>
        <v>57710</v>
      </c>
      <c r="BG52" s="683">
        <f t="shared" si="2"/>
        <v>58075</v>
      </c>
      <c r="BH52" s="683">
        <f t="shared" si="2"/>
        <v>58440</v>
      </c>
      <c r="BI52" s="683">
        <f t="shared" si="2"/>
        <v>58806</v>
      </c>
    </row>
    <row r="53" spans="1:61" ht="18">
      <c r="A53" s="284" t="s">
        <v>154</v>
      </c>
      <c r="B53" s="285"/>
      <c r="C53" s="283"/>
      <c r="D53" s="283"/>
      <c r="E53" s="283"/>
      <c r="F53" s="283"/>
      <c r="G53" s="283"/>
      <c r="H53" s="283"/>
      <c r="I53" s="283"/>
      <c r="J53" s="283"/>
      <c r="K53" s="283"/>
      <c r="L53" s="283"/>
      <c r="M53" s="283"/>
      <c r="N53" s="283"/>
      <c r="O53" s="283"/>
      <c r="P53" s="283"/>
      <c r="Q53" s="286">
        <f>P15*$B$35*$Q$38*$Q$42/100</f>
        <v>42850.114560000002</v>
      </c>
      <c r="R53" s="287">
        <f>Q53*Indeksacja!R$61</f>
        <v>45385.443936942138</v>
      </c>
      <c r="S53" s="282">
        <f>R53*Indeksacja!S$61</f>
        <v>48104.799499716479</v>
      </c>
      <c r="T53" s="282">
        <f>S53*Indeksacja!T$61</f>
        <v>51062.92530289141</v>
      </c>
      <c r="U53" s="282">
        <f>T53*Indeksacja!U$61</f>
        <v>51866.9453134586</v>
      </c>
      <c r="V53" s="282">
        <f>U53*Indeksacja!V$61</f>
        <v>57097.606300591666</v>
      </c>
      <c r="W53" s="282">
        <f>V53*Indeksacja!W$61</f>
        <v>58924.346956257519</v>
      </c>
      <c r="X53" s="282">
        <f>W53*Indeksacja!X$61</f>
        <v>60533.949669890666</v>
      </c>
      <c r="Y53" s="282">
        <f>X53*Indeksacja!Y$61</f>
        <v>62099.179051865911</v>
      </c>
      <c r="Z53" s="282">
        <f>Y53*Indeksacja!Z$61</f>
        <v>63763.886744298448</v>
      </c>
      <c r="AA53" s="282">
        <f>Z53*Indeksacja!AA$61</f>
        <v>65431.612383877829</v>
      </c>
      <c r="AB53" s="282">
        <f>AA53*Indeksacja!AB$61</f>
        <v>67152.794925692026</v>
      </c>
      <c r="AC53" s="282">
        <f>AB53*Indeksacja!AC$61</f>
        <v>68875.400732170834</v>
      </c>
      <c r="AD53" s="282">
        <f>AC53*Indeksacja!AD$61</f>
        <v>70596.960887020134</v>
      </c>
      <c r="AE53" s="282">
        <f>AD53*Indeksacja!AE$61</f>
        <v>72314.85012348817</v>
      </c>
      <c r="AF53" s="282">
        <f>AE53*Indeksacja!AF$61</f>
        <v>74085.998470926919</v>
      </c>
      <c r="AG53" s="282">
        <f>AF53*Indeksacja!AG$61</f>
        <v>75852.066549070849</v>
      </c>
      <c r="AH53" s="282">
        <f>AG53*Indeksacja!AH$61</f>
        <v>77670.69452947336</v>
      </c>
      <c r="AI53" s="282">
        <f>AH53*Indeksacja!AI$61</f>
        <v>79480.281176263161</v>
      </c>
      <c r="AJ53" s="282">
        <f>AI53*Indeksacja!AJ$61</f>
        <v>81276.889227182008</v>
      </c>
      <c r="AK53" s="282">
        <f>AJ53*Indeksacja!AK$61</f>
        <v>83057.648341612978</v>
      </c>
      <c r="AL53" s="282">
        <f>AK53*Indeksacja!AL$61</f>
        <v>84818.630700272653</v>
      </c>
      <c r="AM53" s="282">
        <f>AL53*Indeksacja!AM$61</f>
        <v>86555.846377240814</v>
      </c>
      <c r="AN53" s="282">
        <f>AM53*Indeksacja!AN$61</f>
        <v>88265.14064582916</v>
      </c>
      <c r="AO53" s="282">
        <f>AN53*Indeksacja!AO$61</f>
        <v>90013.826201496515</v>
      </c>
      <c r="AP53" s="282">
        <f>AO53*Indeksacja!AP$61</f>
        <v>91656.906625360207</v>
      </c>
      <c r="AQ53" s="282">
        <f>AP53*Indeksacja!AQ$61</f>
        <v>93334.471266206587</v>
      </c>
      <c r="AR53" s="282">
        <f>AQ53*Indeksacja!AR$61</f>
        <v>95046.598621255442</v>
      </c>
      <c r="AS53" s="282">
        <f>AR53*Indeksacja!AS$61</f>
        <v>96717.695505118769</v>
      </c>
      <c r="AT53" s="282">
        <f>AS53*Indeksacja!AT$61</f>
        <v>98344.112058177503</v>
      </c>
      <c r="AU53" s="282">
        <f>AT53*Indeksacja!AU$61</f>
        <v>99922.242517828287</v>
      </c>
      <c r="AV53" s="282">
        <f>AU53*Indeksacja!AV$61</f>
        <v>101529.21786718667</v>
      </c>
      <c r="AW53" s="282">
        <f>AV53*Indeksacja!AW$61</f>
        <v>103164.77144142699</v>
      </c>
      <c r="AX53" s="282">
        <f>AW53*Indeksacja!AX$61</f>
        <v>104829.1963064962</v>
      </c>
      <c r="AY53" s="282">
        <f>AX53*Indeksacja!AY$61</f>
        <v>106438.00897425371</v>
      </c>
      <c r="AZ53" s="282">
        <f>AY53*Indeksacja!AZ$61</f>
        <v>108057.30992324885</v>
      </c>
      <c r="BA53" s="282">
        <f>AZ53*Indeksacja!BA$61</f>
        <v>109701.2462030688</v>
      </c>
      <c r="BB53" s="282">
        <f>BA53*Indeksacja!BB$61</f>
        <v>111370.19260477713</v>
      </c>
      <c r="BC53" s="282">
        <f>BB53*Indeksacja!BC$61</f>
        <v>113064.52962134336</v>
      </c>
      <c r="BD53" s="282">
        <f>BC53*Indeksacja!BD$61</f>
        <v>114784.64353438937</v>
      </c>
      <c r="BE53" s="282">
        <f>BD53*Indeksacja!BE$61</f>
        <v>116623.20855136322</v>
      </c>
      <c r="BF53" s="282">
        <f>BE53*Indeksacja!BF$61</f>
        <v>118491.22281535788</v>
      </c>
      <c r="BG53" s="282">
        <f>BF53*Indeksacja!BG$61</f>
        <v>120389.15803019784</v>
      </c>
      <c r="BH53" s="282">
        <f>BG53*Indeksacja!BH$61</f>
        <v>122414.28129941822</v>
      </c>
      <c r="BI53" s="282">
        <f>BH53*Indeksacja!BI$61</f>
        <v>124473.47013004495</v>
      </c>
    </row>
    <row r="54" spans="1:61">
      <c r="A54" s="288" t="s">
        <v>150</v>
      </c>
      <c r="B54" s="285"/>
      <c r="C54" s="283"/>
      <c r="D54" s="283"/>
      <c r="E54" s="283"/>
      <c r="F54" s="283"/>
      <c r="G54" s="283"/>
      <c r="H54" s="283"/>
      <c r="I54" s="283"/>
      <c r="J54" s="283"/>
      <c r="K54" s="283"/>
      <c r="L54" s="283"/>
      <c r="M54" s="283"/>
      <c r="N54" s="283"/>
      <c r="O54" s="283"/>
      <c r="P54" s="283"/>
      <c r="Q54" s="286">
        <f>Q15*$B$35*$Q$38*$Q$42/100</f>
        <v>2082.9916800000001</v>
      </c>
      <c r="R54" s="287">
        <f>Q54*Indeksacja!R$61</f>
        <v>2206.2368580457983</v>
      </c>
      <c r="S54" s="282">
        <f>R54*Indeksacja!S$61</f>
        <v>2338.4277534584398</v>
      </c>
      <c r="T54" s="282">
        <f>S54*Indeksacja!T$61</f>
        <v>2482.2255355572211</v>
      </c>
      <c r="U54" s="282">
        <f>T54*Indeksacja!U$61</f>
        <v>2521.3098416264597</v>
      </c>
      <c r="V54" s="282">
        <f>U54*Indeksacja!V$61</f>
        <v>2775.5780840565394</v>
      </c>
      <c r="W54" s="282">
        <f>V54*Indeksacja!W$61</f>
        <v>2864.3779770402962</v>
      </c>
      <c r="X54" s="282">
        <f>W54*Indeksacja!X$61</f>
        <v>2942.622553397463</v>
      </c>
      <c r="Y54" s="282">
        <f>X54*Indeksacja!Y$61</f>
        <v>3018.7100927990373</v>
      </c>
      <c r="Z54" s="282">
        <f>Y54*Indeksacja!Z$61</f>
        <v>3099.6333834033967</v>
      </c>
      <c r="AA54" s="282">
        <f>Z54*Indeksacja!AA$61</f>
        <v>3180.7033797718391</v>
      </c>
      <c r="AB54" s="282">
        <f>AA54*Indeksacja!AB$61</f>
        <v>3264.3719755544739</v>
      </c>
      <c r="AC54" s="282">
        <f>AB54*Indeksacja!AC$61</f>
        <v>3348.1097578138606</v>
      </c>
      <c r="AD54" s="282">
        <f>AC54*Indeksacja!AD$61</f>
        <v>3431.7967097857018</v>
      </c>
      <c r="AE54" s="282">
        <f>AD54*Indeksacja!AE$61</f>
        <v>3515.3052143362311</v>
      </c>
      <c r="AF54" s="282">
        <f>AE54*Indeksacja!AF$61</f>
        <v>3601.4027034478368</v>
      </c>
      <c r="AG54" s="282">
        <f>AF54*Indeksacja!AG$61</f>
        <v>3687.2532350242773</v>
      </c>
      <c r="AH54" s="282">
        <f>AG54*Indeksacja!AH$61</f>
        <v>3775.6587618493991</v>
      </c>
      <c r="AI54" s="282">
        <f>AH54*Indeksacja!AI$61</f>
        <v>3863.6247794016813</v>
      </c>
      <c r="AJ54" s="282">
        <f>AI54*Indeksacja!AJ$61</f>
        <v>3950.959892988014</v>
      </c>
      <c r="AK54" s="282">
        <f>AJ54*Indeksacja!AK$61</f>
        <v>4037.5245721617416</v>
      </c>
      <c r="AL54" s="282">
        <f>AK54*Indeksacja!AL$61</f>
        <v>4123.1278812632536</v>
      </c>
      <c r="AM54" s="282">
        <f>AL54*Indeksacja!AM$61</f>
        <v>4207.5758655603167</v>
      </c>
      <c r="AN54" s="282">
        <f>AM54*Indeksacja!AN$61</f>
        <v>4290.6665591722503</v>
      </c>
      <c r="AO54" s="282">
        <f>AN54*Indeksacja!AO$61</f>
        <v>4375.6721070171916</v>
      </c>
      <c r="AP54" s="282">
        <f>AO54*Indeksacja!AP$61</f>
        <v>4455.5440720661209</v>
      </c>
      <c r="AQ54" s="282">
        <f>AP54*Indeksacja!AQ$61</f>
        <v>4537.0923532183751</v>
      </c>
      <c r="AR54" s="282">
        <f>AQ54*Indeksacja!AR$61</f>
        <v>4620.3207663110279</v>
      </c>
      <c r="AS54" s="282">
        <f>AR54*Indeksacja!AS$61</f>
        <v>4701.5546426099399</v>
      </c>
      <c r="AT54" s="282">
        <f>AS54*Indeksacja!AT$61</f>
        <v>4780.6165583836282</v>
      </c>
      <c r="AU54" s="282">
        <f>AT54*Indeksacja!AU$61</f>
        <v>4857.3312335055416</v>
      </c>
      <c r="AV54" s="282">
        <f>AU54*Indeksacja!AV$61</f>
        <v>4935.4480907660181</v>
      </c>
      <c r="AW54" s="282">
        <f>AV54*Indeksacja!AW$61</f>
        <v>5014.9541672915884</v>
      </c>
      <c r="AX54" s="282">
        <f>AW54*Indeksacja!AX$61</f>
        <v>5095.8637093435646</v>
      </c>
      <c r="AY54" s="282">
        <f>AX54*Indeksacja!AY$61</f>
        <v>5174.0698806928876</v>
      </c>
      <c r="AZ54" s="282">
        <f>AY54*Indeksacja!AZ$61</f>
        <v>5252.7858990468176</v>
      </c>
      <c r="BA54" s="282">
        <f>AZ54*Indeksacja!BA$61</f>
        <v>5332.6994682047325</v>
      </c>
      <c r="BB54" s="282">
        <f>BA54*Indeksacja!BB$61</f>
        <v>5413.8288071766647</v>
      </c>
      <c r="BC54" s="282">
        <f>BB54*Indeksacja!BC$61</f>
        <v>5496.1924121486345</v>
      </c>
      <c r="BD54" s="282">
        <f>BC54*Indeksacja!BD$61</f>
        <v>5579.809060699482</v>
      </c>
      <c r="BE54" s="282">
        <f>BD54*Indeksacja!BE$61</f>
        <v>5669.1837490245998</v>
      </c>
      <c r="BF54" s="282">
        <f>BE54*Indeksacja!BF$61</f>
        <v>5759.9899979687843</v>
      </c>
      <c r="BG54" s="282">
        <f>BF54*Indeksacja!BG$61</f>
        <v>5852.2507375790601</v>
      </c>
      <c r="BH54" s="282">
        <f>BG54*Indeksacja!BH$61</f>
        <v>5950.6942298328286</v>
      </c>
      <c r="BI54" s="282">
        <f>BH54*Indeksacja!BI$61</f>
        <v>6050.793686877184</v>
      </c>
    </row>
    <row r="55" spans="1:61" ht="18">
      <c r="A55" s="284" t="s">
        <v>151</v>
      </c>
      <c r="B55" s="285"/>
      <c r="C55" s="283"/>
      <c r="D55" s="283"/>
      <c r="E55" s="283"/>
      <c r="F55" s="283"/>
      <c r="G55" s="283"/>
      <c r="H55" s="283"/>
      <c r="I55" s="283"/>
      <c r="J55" s="283"/>
      <c r="K55" s="283"/>
      <c r="L55" s="283"/>
      <c r="M55" s="283"/>
      <c r="N55" s="283"/>
      <c r="O55" s="283"/>
      <c r="P55" s="283"/>
      <c r="Q55" s="286">
        <f>R15*$B$35*$Q$38*$Q$42/100</f>
        <v>24400.759679999999</v>
      </c>
      <c r="R55" s="287">
        <f>Q55*Indeksacja!R$61</f>
        <v>25844.488908536496</v>
      </c>
      <c r="S55" s="282">
        <f>R55*Indeksacja!S$61</f>
        <v>27393.010826227437</v>
      </c>
      <c r="T55" s="282">
        <f>S55*Indeksacja!T$61</f>
        <v>29077.499130813161</v>
      </c>
      <c r="U55" s="282">
        <f>T55*Indeksacja!U$61</f>
        <v>29535.343859052813</v>
      </c>
      <c r="V55" s="282">
        <f>U55*Indeksacja!V$61</f>
        <v>32513.914698948032</v>
      </c>
      <c r="W55" s="282">
        <f>V55*Indeksacja!W$61</f>
        <v>33554.14201675776</v>
      </c>
      <c r="X55" s="282">
        <f>W55*Indeksacja!X$61</f>
        <v>34470.72133979886</v>
      </c>
      <c r="Y55" s="282">
        <f>X55*Indeksacja!Y$61</f>
        <v>35362.032515645871</v>
      </c>
      <c r="Z55" s="282">
        <f>Y55*Indeksacja!Z$61</f>
        <v>36309.991062725509</v>
      </c>
      <c r="AA55" s="282">
        <f>Z55*Indeksacja!AA$61</f>
        <v>37259.668163041548</v>
      </c>
      <c r="AB55" s="282">
        <f>AA55*Indeksacja!AB$61</f>
        <v>38239.785999352411</v>
      </c>
      <c r="AC55" s="282">
        <f>AB55*Indeksacja!AC$61</f>
        <v>39220.714305819514</v>
      </c>
      <c r="AD55" s="282">
        <f>AC55*Indeksacja!AD$61</f>
        <v>40201.047171775368</v>
      </c>
      <c r="AE55" s="282">
        <f>AD55*Indeksacja!AE$61</f>
        <v>41179.289653652995</v>
      </c>
      <c r="AF55" s="282">
        <f>AE55*Indeksacja!AF$61</f>
        <v>42187.860240388953</v>
      </c>
      <c r="AG55" s="282">
        <f>AF55*Indeksacja!AG$61</f>
        <v>43193.537895998685</v>
      </c>
      <c r="AH55" s="282">
        <f>AG55*Indeksacja!AH$61</f>
        <v>44229.145495950113</v>
      </c>
      <c r="AI55" s="282">
        <f>AH55*Indeksacja!AI$61</f>
        <v>45259.604558705418</v>
      </c>
      <c r="AJ55" s="282">
        <f>AI55*Indeksacja!AJ$61</f>
        <v>46282.673032145314</v>
      </c>
      <c r="AK55" s="282">
        <f>AJ55*Indeksacja!AK$61</f>
        <v>47296.716416751842</v>
      </c>
      <c r="AL55" s="282">
        <f>AK55*Indeksacja!AL$61</f>
        <v>48299.498037655263</v>
      </c>
      <c r="AM55" s="282">
        <f>AL55*Indeksacja!AM$61</f>
        <v>49288.745853706576</v>
      </c>
      <c r="AN55" s="282">
        <f>AM55*Indeksacja!AN$61</f>
        <v>50262.093978874938</v>
      </c>
      <c r="AO55" s="282">
        <f>AN55*Indeksacja!AO$61</f>
        <v>51257.873253629965</v>
      </c>
      <c r="AP55" s="282">
        <f>AO55*Indeksacja!AP$61</f>
        <v>52193.51627277457</v>
      </c>
      <c r="AQ55" s="282">
        <f>AP55*Indeksacja!AQ$61</f>
        <v>53148.796137700978</v>
      </c>
      <c r="AR55" s="282">
        <f>AQ55*Indeksacja!AR$61</f>
        <v>54123.757548214911</v>
      </c>
      <c r="AS55" s="282">
        <f>AR55*Indeksacja!AS$61</f>
        <v>55075.354384859304</v>
      </c>
      <c r="AT55" s="282">
        <f>AS55*Indeksacja!AT$61</f>
        <v>56001.50825535108</v>
      </c>
      <c r="AU55" s="282">
        <f>AT55*Indeksacja!AU$61</f>
        <v>56900.165878207779</v>
      </c>
      <c r="AV55" s="282">
        <f>AU55*Indeksacja!AV$61</f>
        <v>57815.249063259078</v>
      </c>
      <c r="AW55" s="282">
        <f>AV55*Indeksacja!AW$61</f>
        <v>58746.605959701476</v>
      </c>
      <c r="AX55" s="282">
        <f>AW55*Indeksacja!AX$61</f>
        <v>59694.403452310333</v>
      </c>
      <c r="AY55" s="282">
        <f>AX55*Indeksacja!AY$61</f>
        <v>60610.532888116686</v>
      </c>
      <c r="AZ55" s="282">
        <f>AY55*Indeksacja!AZ$61</f>
        <v>61532.634817405582</v>
      </c>
      <c r="BA55" s="282">
        <f>AZ55*Indeksacja!BA$61</f>
        <v>62468.765198969726</v>
      </c>
      <c r="BB55" s="282">
        <f>BA55*Indeksacja!BB$61</f>
        <v>63419.137455498072</v>
      </c>
      <c r="BC55" s="282">
        <f>BB55*Indeksacja!BC$61</f>
        <v>64383.968256598288</v>
      </c>
      <c r="BD55" s="282">
        <f>BC55*Indeksacja!BD$61</f>
        <v>65363.477568193935</v>
      </c>
      <c r="BE55" s="282">
        <f>BD55*Indeksacja!BE$61</f>
        <v>66410.438202859601</v>
      </c>
      <c r="BF55" s="282">
        <f>BE55*Indeksacja!BF$61</f>
        <v>67474.168547634341</v>
      </c>
      <c r="BG55" s="282">
        <f>BF55*Indeksacja!BG$61</f>
        <v>68554.937211640427</v>
      </c>
      <c r="BH55" s="282">
        <f>BG55*Indeksacja!BH$61</f>
        <v>69708.132406613135</v>
      </c>
      <c r="BI55" s="282">
        <f>BH55*Indeksacja!BI$61</f>
        <v>70880.72604627558</v>
      </c>
    </row>
    <row r="56" spans="1:61" ht="18">
      <c r="A56" s="289" t="s">
        <v>164</v>
      </c>
      <c r="B56" s="290"/>
      <c r="C56" s="291"/>
      <c r="D56" s="291"/>
      <c r="E56" s="291"/>
      <c r="F56" s="291"/>
      <c r="G56" s="291"/>
      <c r="H56" s="291"/>
      <c r="I56" s="291"/>
      <c r="J56" s="291"/>
      <c r="K56" s="291"/>
      <c r="L56" s="291"/>
      <c r="M56" s="291"/>
      <c r="N56" s="291"/>
      <c r="O56" s="291"/>
      <c r="P56" s="291"/>
      <c r="Q56" s="292">
        <f>S15*$B$35*$Q$38*$Q$42/100</f>
        <v>43742.825279999997</v>
      </c>
      <c r="R56" s="293">
        <f>Q56*Indeksacja!R$61</f>
        <v>46330.974018961766</v>
      </c>
      <c r="S56" s="294">
        <f>R56*Indeksacja!S$61</f>
        <v>49106.982822627237</v>
      </c>
      <c r="T56" s="294">
        <f>S56*Indeksacja!T$61</f>
        <v>52126.736246701643</v>
      </c>
      <c r="U56" s="294">
        <f>T56*Indeksacja!U$61</f>
        <v>52947.506674155651</v>
      </c>
      <c r="V56" s="294">
        <f>U56*Indeksacja!V$61</f>
        <v>58287.139765187327</v>
      </c>
      <c r="W56" s="294">
        <f>V56*Indeksacja!W$61</f>
        <v>60151.937517846221</v>
      </c>
      <c r="X56" s="294">
        <f>W56*Indeksacja!X$61</f>
        <v>61795.073621346724</v>
      </c>
      <c r="Y56" s="294">
        <f>X56*Indeksacja!Y$61</f>
        <v>63392.911948779787</v>
      </c>
      <c r="Z56" s="294">
        <f>Y56*Indeksacja!Z$61</f>
        <v>65092.301051471331</v>
      </c>
      <c r="AA56" s="294">
        <f>Z56*Indeksacja!AA$61</f>
        <v>66794.770975208623</v>
      </c>
      <c r="AB56" s="294">
        <f>AA56*Indeksacja!AB$61</f>
        <v>68551.811486643957</v>
      </c>
      <c r="AC56" s="294">
        <f>AB56*Indeksacja!AC$61</f>
        <v>70310.304914091073</v>
      </c>
      <c r="AD56" s="294">
        <f>AC56*Indeksacja!AD$61</f>
        <v>72067.730905499731</v>
      </c>
      <c r="AE56" s="294">
        <f>AD56*Indeksacja!AE$61</f>
        <v>73821.409501060843</v>
      </c>
      <c r="AF56" s="294">
        <f>AE56*Indeksacja!AF$61</f>
        <v>75629.456772404563</v>
      </c>
      <c r="AG56" s="294">
        <f>AF56*Indeksacja!AG$61</f>
        <v>77432.317935509811</v>
      </c>
      <c r="AH56" s="294">
        <f>AG56*Indeksacja!AH$61</f>
        <v>79288.833998837377</v>
      </c>
      <c r="AI56" s="294">
        <f>AH56*Indeksacja!AI$61</f>
        <v>81136.120367435302</v>
      </c>
      <c r="AJ56" s="294">
        <f>AI56*Indeksacja!AJ$61</f>
        <v>82970.157752748288</v>
      </c>
      <c r="AK56" s="294">
        <f>AJ56*Indeksacja!AK$61</f>
        <v>84788.01601539657</v>
      </c>
      <c r="AL56" s="294">
        <f>AK56*Indeksacja!AL$61</f>
        <v>86585.685506528316</v>
      </c>
      <c r="AM56" s="294">
        <f>AL56*Indeksacja!AM$61</f>
        <v>88359.093176766633</v>
      </c>
      <c r="AN56" s="294">
        <f>AM56*Indeksacja!AN$61</f>
        <v>90103.997742617241</v>
      </c>
      <c r="AO56" s="294">
        <f>AN56*Indeksacja!AO$61</f>
        <v>91889.114247361009</v>
      </c>
      <c r="AP56" s="294">
        <f>AO56*Indeksacja!AP$61</f>
        <v>93566.425513388531</v>
      </c>
      <c r="AQ56" s="294">
        <f>AP56*Indeksacja!AQ$61</f>
        <v>95278.939417585876</v>
      </c>
      <c r="AR56" s="294">
        <f>AQ56*Indeksacja!AR$61</f>
        <v>97026.736092531588</v>
      </c>
      <c r="AS56" s="294">
        <f>AR56*Indeksacja!AS$61</f>
        <v>98732.647494808727</v>
      </c>
      <c r="AT56" s="294">
        <f>AS56*Indeksacja!AT$61</f>
        <v>100392.94772605618</v>
      </c>
      <c r="AU56" s="294">
        <f>AT56*Indeksacja!AU$61</f>
        <v>102003.95590361636</v>
      </c>
      <c r="AV56" s="294">
        <f>AU56*Indeksacja!AV$61</f>
        <v>103644.40990608637</v>
      </c>
      <c r="AW56" s="294">
        <f>AV56*Indeksacja!AW$61</f>
        <v>105314.03751312334</v>
      </c>
      <c r="AX56" s="294">
        <f>AW56*Indeksacja!AX$61</f>
        <v>107013.13789621483</v>
      </c>
      <c r="AY56" s="294">
        <f>AX56*Indeksacja!AY$61</f>
        <v>108655.46749455061</v>
      </c>
      <c r="AZ56" s="294">
        <f>AY56*Indeksacja!AZ$61</f>
        <v>110308.50387998315</v>
      </c>
      <c r="BA56" s="294">
        <f>AZ56*Indeksacja!BA$61</f>
        <v>111986.68883229936</v>
      </c>
      <c r="BB56" s="294">
        <f>BA56*Indeksacja!BB$61</f>
        <v>113690.40495070994</v>
      </c>
      <c r="BC56" s="294">
        <f>BB56*Indeksacja!BC$61</f>
        <v>115420.04065512131</v>
      </c>
      <c r="BD56" s="294">
        <f>BC56*Indeksacja!BD$61</f>
        <v>117175.99027468912</v>
      </c>
      <c r="BE56" s="294">
        <f>BD56*Indeksacja!BE$61</f>
        <v>119052.85872951658</v>
      </c>
      <c r="BF56" s="294">
        <f>BE56*Indeksacja!BF$61</f>
        <v>120959.78995734446</v>
      </c>
      <c r="BG56" s="294">
        <f>BF56*Indeksacja!BG$61</f>
        <v>122897.26548916026</v>
      </c>
      <c r="BH56" s="294">
        <f>BG56*Indeksacja!BH$61</f>
        <v>124964.57882648939</v>
      </c>
      <c r="BI56" s="294">
        <f>BH56*Indeksacja!BI$61</f>
        <v>127066.66742442086</v>
      </c>
    </row>
    <row r="57" spans="1:61" ht="18">
      <c r="A57" s="295" t="s">
        <v>165</v>
      </c>
      <c r="B57" s="296"/>
      <c r="C57" s="297"/>
      <c r="D57" s="297"/>
      <c r="E57" s="297"/>
      <c r="F57" s="297"/>
      <c r="G57" s="297"/>
      <c r="H57" s="297"/>
      <c r="I57" s="297"/>
      <c r="J57" s="297"/>
      <c r="K57" s="297"/>
      <c r="L57" s="297"/>
      <c r="M57" s="297"/>
      <c r="N57" s="297"/>
      <c r="O57" s="297"/>
      <c r="P57" s="297"/>
      <c r="Q57" s="298">
        <f>T15*$B$35*$Q$38*$Q$42/100</f>
        <v>26483.751360000006</v>
      </c>
      <c r="R57" s="299">
        <f>Q57*Indeksacja!R$61</f>
        <v>28050.725766582298</v>
      </c>
      <c r="S57" s="300">
        <f>R57*Indeksacja!S$61</f>
        <v>29731.438579685884</v>
      </c>
      <c r="T57" s="300">
        <f>S57*Indeksacja!T$61</f>
        <v>31559.724666370388</v>
      </c>
      <c r="U57" s="300">
        <f>T57*Indeksacja!U$61</f>
        <v>32056.653700679279</v>
      </c>
      <c r="V57" s="300">
        <f>U57*Indeksacja!V$61</f>
        <v>35289.492783004578</v>
      </c>
      <c r="W57" s="300">
        <f>V57*Indeksacja!W$61</f>
        <v>36418.519993798058</v>
      </c>
      <c r="X57" s="300">
        <f>W57*Indeksacja!X$61</f>
        <v>37413.343893196325</v>
      </c>
      <c r="Y57" s="300">
        <f>X57*Indeksacja!Y$61</f>
        <v>38380.742608444911</v>
      </c>
      <c r="Z57" s="300">
        <f>Y57*Indeksacja!Z$61</f>
        <v>39409.62444612891</v>
      </c>
      <c r="AA57" s="300">
        <f>Z57*Indeksacja!AA$61</f>
        <v>40440.371542813387</v>
      </c>
      <c r="AB57" s="300">
        <f>AA57*Indeksacja!AB$61</f>
        <v>41504.157974906884</v>
      </c>
      <c r="AC57" s="300">
        <f>AB57*Indeksacja!AC$61</f>
        <v>42568.824063633372</v>
      </c>
      <c r="AD57" s="300">
        <f>AC57*Indeksacja!AD$61</f>
        <v>43632.843881561064</v>
      </c>
      <c r="AE57" s="300">
        <f>AD57*Indeksacja!AE$61</f>
        <v>44694.594867989224</v>
      </c>
      <c r="AF57" s="300">
        <f>AE57*Indeksacja!AF$61</f>
        <v>45789.262943836788</v>
      </c>
      <c r="AG57" s="300">
        <f>AF57*Indeksacja!AG$61</f>
        <v>46880.791131022961</v>
      </c>
      <c r="AH57" s="300">
        <f>AG57*Indeksacja!AH$61</f>
        <v>48004.804257799507</v>
      </c>
      <c r="AI57" s="300">
        <f>AH57*Indeksacja!AI$61</f>
        <v>49123.229338107099</v>
      </c>
      <c r="AJ57" s="300">
        <f>AI57*Indeksacja!AJ$61</f>
        <v>50233.63292513333</v>
      </c>
      <c r="AK57" s="300">
        <f>AJ57*Indeksacja!AK$61</f>
        <v>51334.240988913582</v>
      </c>
      <c r="AL57" s="300">
        <f>AK57*Indeksacja!AL$61</f>
        <v>52422.625918918515</v>
      </c>
      <c r="AM57" s="300">
        <f>AL57*Indeksacja!AM$61</f>
        <v>53496.321719266889</v>
      </c>
      <c r="AN57" s="300">
        <f>AM57*Indeksacja!AN$61</f>
        <v>54552.760538047187</v>
      </c>
      <c r="AO57" s="300">
        <f>AN57*Indeksacja!AO$61</f>
        <v>55633.545360647149</v>
      </c>
      <c r="AP57" s="300">
        <f>AO57*Indeksacja!AP$61</f>
        <v>56649.060344840684</v>
      </c>
      <c r="AQ57" s="300">
        <f>AP57*Indeksacja!AQ$61</f>
        <v>57685.888490919344</v>
      </c>
      <c r="AR57" s="300">
        <f>AQ57*Indeksacja!AR$61</f>
        <v>58744.078314525934</v>
      </c>
      <c r="AS57" s="300">
        <f>AR57*Indeksacja!AS$61</f>
        <v>59776.909027469243</v>
      </c>
      <c r="AT57" s="300">
        <f>AS57*Indeksacja!AT$61</f>
        <v>60782.124813734707</v>
      </c>
      <c r="AU57" s="300">
        <f>AT57*Indeksacja!AU$61</f>
        <v>61757.497111713317</v>
      </c>
      <c r="AV57" s="300">
        <f>AU57*Indeksacja!AV$61</f>
        <v>62750.697154025096</v>
      </c>
      <c r="AW57" s="300">
        <f>AV57*Indeksacja!AW$61</f>
        <v>63761.56012699307</v>
      </c>
      <c r="AX57" s="300">
        <f>AW57*Indeksacja!AX$61</f>
        <v>64790.267161653908</v>
      </c>
      <c r="AY57" s="300">
        <f>AX57*Indeksacja!AY$61</f>
        <v>65784.602768809593</v>
      </c>
      <c r="AZ57" s="300">
        <f>AY57*Indeksacja!AZ$61</f>
        <v>66785.420716452427</v>
      </c>
      <c r="BA57" s="300">
        <f>AZ57*Indeksacja!BA$61</f>
        <v>67801.464667174485</v>
      </c>
      <c r="BB57" s="300">
        <f>BA57*Indeksacja!BB$61</f>
        <v>68832.966262674774</v>
      </c>
      <c r="BC57" s="300">
        <f>BB57*Indeksacja!BC$61</f>
        <v>69880.160668746961</v>
      </c>
      <c r="BD57" s="300">
        <f>BC57*Indeksacja!BD$61</f>
        <v>70943.28662889346</v>
      </c>
      <c r="BE57" s="300">
        <f>BD57*Indeksacja!BE$61</f>
        <v>72079.621951884241</v>
      </c>
      <c r="BF57" s="300">
        <f>BE57*Indeksacja!BF$61</f>
        <v>73234.158545603161</v>
      </c>
      <c r="BG57" s="300">
        <f>BF57*Indeksacja!BG$61</f>
        <v>74407.187949219529</v>
      </c>
      <c r="BH57" s="300">
        <f>BG57*Indeksacja!BH$61</f>
        <v>75658.826636446014</v>
      </c>
      <c r="BI57" s="300">
        <f>BH57*Indeksacja!BI$61</f>
        <v>76931.519733152818</v>
      </c>
    </row>
    <row r="58" spans="1:61" ht="18">
      <c r="A58" s="289" t="s">
        <v>272</v>
      </c>
      <c r="B58" s="290"/>
      <c r="C58" s="291"/>
      <c r="D58" s="291"/>
      <c r="E58" s="291"/>
      <c r="F58" s="291"/>
      <c r="G58" s="291"/>
      <c r="H58" s="291"/>
      <c r="I58" s="291"/>
      <c r="J58" s="291"/>
      <c r="K58" s="291"/>
      <c r="L58" s="291"/>
      <c r="M58" s="291"/>
      <c r="N58" s="291"/>
      <c r="O58" s="291"/>
      <c r="P58" s="291"/>
      <c r="Q58" s="292">
        <f>U15*$B$35*$Q$38*$Q$42/100</f>
        <v>839148.07679999992</v>
      </c>
      <c r="R58" s="293">
        <f>Q58*Indeksacja!R$61</f>
        <v>888798.27709845011</v>
      </c>
      <c r="S58" s="294">
        <f>R58*Indeksacja!S$61</f>
        <v>942052.32353611419</v>
      </c>
      <c r="T58" s="294">
        <f>S58*Indeksacja!T$61</f>
        <v>999982.28718162316</v>
      </c>
      <c r="U58" s="294">
        <f>T58*Indeksacja!U$61</f>
        <v>1015727.6790552307</v>
      </c>
      <c r="V58" s="294">
        <f>U58*Indeksacja!V$61</f>
        <v>1118161.45671992</v>
      </c>
      <c r="W58" s="294">
        <f>V58*Indeksacja!W$61</f>
        <v>1153935.1278933764</v>
      </c>
      <c r="X58" s="294">
        <f>W58*Indeksacja!X$61</f>
        <v>1185456.5143686922</v>
      </c>
      <c r="Y58" s="294">
        <f>X58*Indeksacja!Y$61</f>
        <v>1216108.9230990408</v>
      </c>
      <c r="Z58" s="294">
        <f>Y58*Indeksacja!Z$61</f>
        <v>1248709.4487425112</v>
      </c>
      <c r="AA58" s="294">
        <f>Z58*Indeksacja!AA$61</f>
        <v>1281369.0758509408</v>
      </c>
      <c r="AB58" s="294">
        <f>AA58*Indeksacja!AB$61</f>
        <v>1315075.5672948023</v>
      </c>
      <c r="AC58" s="294">
        <f>AB58*Indeksacja!AC$61</f>
        <v>1348809.9310050125</v>
      </c>
      <c r="AD58" s="294">
        <f>AC58*Indeksacja!AD$61</f>
        <v>1382523.8173708112</v>
      </c>
      <c r="AE58" s="294">
        <f>AD58*Indeksacja!AE$61</f>
        <v>1416165.8149183101</v>
      </c>
      <c r="AF58" s="294">
        <f>AE58*Indeksacja!AF$61</f>
        <v>1450850.8033889856</v>
      </c>
      <c r="AG58" s="294">
        <f>AF58*Indeksacja!AG$61</f>
        <v>1485436.3032526374</v>
      </c>
      <c r="AH58" s="294">
        <f>AG58*Indeksacja!AH$61</f>
        <v>1521051.1012021864</v>
      </c>
      <c r="AI58" s="294">
        <f>AH58*Indeksacja!AI$61</f>
        <v>1556488.8397018202</v>
      </c>
      <c r="AJ58" s="294">
        <f>AI58*Indeksacja!AJ$61</f>
        <v>1591672.4140323142</v>
      </c>
      <c r="AK58" s="294">
        <f>AJ58*Indeksacja!AK$61</f>
        <v>1626545.6133565875</v>
      </c>
      <c r="AL58" s="294">
        <f>AK58*Indeksacja!AL$61</f>
        <v>1661031.5178803394</v>
      </c>
      <c r="AM58" s="294">
        <f>AL58*Indeksacja!AM$61</f>
        <v>1695051.9915542991</v>
      </c>
      <c r="AN58" s="294">
        <f>AM58*Indeksacja!AN$61</f>
        <v>1728525.6709808209</v>
      </c>
      <c r="AO58" s="294">
        <f>AN58*Indeksacja!AO$61</f>
        <v>1762770.76311264</v>
      </c>
      <c r="AP58" s="294">
        <f>AO58*Indeksacja!AP$61</f>
        <v>1794947.7547466373</v>
      </c>
      <c r="AQ58" s="294">
        <f>AP58*Indeksacja!AQ$61</f>
        <v>1827800.0622965454</v>
      </c>
      <c r="AR58" s="294">
        <f>AQ58*Indeksacja!AR$61</f>
        <v>1861329.2229995856</v>
      </c>
      <c r="AS58" s="294">
        <f>AR58*Indeksacja!AS$61</f>
        <v>1894054.8703085757</v>
      </c>
      <c r="AT58" s="294">
        <f>AS58*Indeksacja!AT$61</f>
        <v>1925905.5278059759</v>
      </c>
      <c r="AU58" s="294">
        <f>AT58*Indeksacja!AU$61</f>
        <v>1956810.5826408037</v>
      </c>
      <c r="AV58" s="294">
        <f>AU58*Indeksacja!AV$61</f>
        <v>1988280.5165657387</v>
      </c>
      <c r="AW58" s="294">
        <f>AV58*Indeksacja!AW$61</f>
        <v>2020310.1073946115</v>
      </c>
      <c r="AX58" s="294">
        <f>AW58*Indeksacja!AX$61</f>
        <v>2052905.0943355502</v>
      </c>
      <c r="AY58" s="294">
        <f>AX58*Indeksacja!AY$61</f>
        <v>2084411.0090791346</v>
      </c>
      <c r="AZ58" s="294">
        <f>AY58*Indeksacja!AZ$61</f>
        <v>2116122.3193302895</v>
      </c>
      <c r="BA58" s="294">
        <f>AZ58*Indeksacja!BA$61</f>
        <v>2148316.0714767636</v>
      </c>
      <c r="BB58" s="294">
        <f>BA58*Indeksacja!BB$61</f>
        <v>2180999.6051768847</v>
      </c>
      <c r="BC58" s="294">
        <f>BB58*Indeksacja!BC$61</f>
        <v>2214180.3717513066</v>
      </c>
      <c r="BD58" s="294">
        <f>BC58*Indeksacja!BD$61</f>
        <v>2247865.9358817912</v>
      </c>
      <c r="BE58" s="294">
        <f>BD58*Indeksacja!BE$61</f>
        <v>2283871.1674641958</v>
      </c>
      <c r="BF58" s="294">
        <f>BE58*Indeksacja!BF$61</f>
        <v>2320453.1134674246</v>
      </c>
      <c r="BG58" s="294">
        <f>BF58*Indeksacja!BG$61</f>
        <v>2357621.0114247072</v>
      </c>
      <c r="BH58" s="294">
        <f>BG58*Indeksacja!BH$61</f>
        <v>2397279.6754469397</v>
      </c>
      <c r="BI58" s="294">
        <f>BH58*Indeksacja!BI$61</f>
        <v>2437605.4567133798</v>
      </c>
    </row>
    <row r="59" spans="1:61" ht="18">
      <c r="A59" s="322" t="s">
        <v>166</v>
      </c>
      <c r="B59" s="323"/>
      <c r="C59" s="324"/>
      <c r="D59" s="324"/>
      <c r="E59" s="324"/>
      <c r="F59" s="324"/>
      <c r="G59" s="324"/>
      <c r="H59" s="324"/>
      <c r="I59" s="324"/>
      <c r="J59" s="324"/>
      <c r="K59" s="324"/>
      <c r="L59" s="324"/>
      <c r="M59" s="324"/>
      <c r="N59" s="324"/>
      <c r="O59" s="324"/>
      <c r="P59" s="324"/>
      <c r="Q59" s="325">
        <f>V15*$B$35*$Q$38*$Q$42/100</f>
        <v>270788.91840000002</v>
      </c>
      <c r="R59" s="326">
        <f>Q59*Indeksacja!R$61</f>
        <v>286810.79154595383</v>
      </c>
      <c r="S59" s="327">
        <f>R59*Indeksacja!S$61</f>
        <v>303995.60794959724</v>
      </c>
      <c r="T59" s="327">
        <f>S59*Indeksacja!T$61</f>
        <v>322689.31962243881</v>
      </c>
      <c r="U59" s="327">
        <f>T59*Indeksacja!U$61</f>
        <v>327770.27941143984</v>
      </c>
      <c r="V59" s="327">
        <f>U59*Indeksacja!V$61</f>
        <v>360825.15092735022</v>
      </c>
      <c r="W59" s="327">
        <f>V59*Indeksacja!W$61</f>
        <v>372369.13701523864</v>
      </c>
      <c r="X59" s="327">
        <f>W59*Indeksacja!X$61</f>
        <v>382540.93194167037</v>
      </c>
      <c r="Y59" s="327">
        <f>X59*Indeksacja!Y$61</f>
        <v>392432.31206387503</v>
      </c>
      <c r="Z59" s="327">
        <f>Y59*Indeksacja!Z$61</f>
        <v>402952.33984244172</v>
      </c>
      <c r="AA59" s="327">
        <f>Z59*Indeksacja!AA$61</f>
        <v>413491.43937033921</v>
      </c>
      <c r="AB59" s="327">
        <f>AA59*Indeksacja!AB$61</f>
        <v>424368.35682208173</v>
      </c>
      <c r="AC59" s="327">
        <f>AB59*Indeksacja!AC$61</f>
        <v>435254.26851580199</v>
      </c>
      <c r="AD59" s="327">
        <f>AC59*Indeksacja!AD$61</f>
        <v>446133.57227214135</v>
      </c>
      <c r="AE59" s="327">
        <f>AD59*Indeksacja!AE$61</f>
        <v>456989.67786371015</v>
      </c>
      <c r="AF59" s="327">
        <f>AE59*Indeksacja!AF$61</f>
        <v>468182.35144821892</v>
      </c>
      <c r="AG59" s="327">
        <f>AF59*Indeksacja!AG$61</f>
        <v>479342.92055315623</v>
      </c>
      <c r="AH59" s="327">
        <f>AG59*Indeksacja!AH$61</f>
        <v>490835.6390404221</v>
      </c>
      <c r="AI59" s="327">
        <f>AH59*Indeksacja!AI$61</f>
        <v>502271.22132221883</v>
      </c>
      <c r="AJ59" s="327">
        <f>AI59*Indeksacja!AJ$61</f>
        <v>513624.78608844208</v>
      </c>
      <c r="AK59" s="327">
        <f>AJ59*Indeksacja!AK$61</f>
        <v>524878.19438102667</v>
      </c>
      <c r="AL59" s="327">
        <f>AK59*Indeksacja!AL$61</f>
        <v>536006.62456422322</v>
      </c>
      <c r="AM59" s="327">
        <f>AL59*Indeksacja!AM$61</f>
        <v>546984.86252284143</v>
      </c>
      <c r="AN59" s="327">
        <f>AM59*Indeksacja!AN$61</f>
        <v>557786.65269239282</v>
      </c>
      <c r="AO59" s="327">
        <f>AN59*Indeksacja!AO$61</f>
        <v>568837.37391223514</v>
      </c>
      <c r="AP59" s="327">
        <f>AO59*Indeksacja!AP$61</f>
        <v>579220.72936859599</v>
      </c>
      <c r="AQ59" s="327">
        <f>AP59*Indeksacja!AQ$61</f>
        <v>589822.00591838907</v>
      </c>
      <c r="AR59" s="327">
        <f>AQ59*Indeksacja!AR$61</f>
        <v>600641.69962043397</v>
      </c>
      <c r="AS59" s="327">
        <f>AR59*Indeksacja!AS$61</f>
        <v>611202.10353929247</v>
      </c>
      <c r="AT59" s="327">
        <f>AS59*Indeksacja!AT$61</f>
        <v>621480.15258987201</v>
      </c>
      <c r="AU59" s="327">
        <f>AT59*Indeksacja!AU$61</f>
        <v>631453.06035572069</v>
      </c>
      <c r="AV59" s="327">
        <f>AU59*Indeksacja!AV$61</f>
        <v>641608.25179958274</v>
      </c>
      <c r="AW59" s="327">
        <f>AV59*Indeksacja!AW$61</f>
        <v>651944.04174790694</v>
      </c>
      <c r="AX59" s="327">
        <f>AW59*Indeksacja!AX$61</f>
        <v>662462.28221466381</v>
      </c>
      <c r="AY59" s="327">
        <f>AX59*Indeksacja!AY$61</f>
        <v>672629.08449007582</v>
      </c>
      <c r="AZ59" s="327">
        <f>AY59*Indeksacja!AZ$61</f>
        <v>682862.16687608673</v>
      </c>
      <c r="BA59" s="327">
        <f>AZ59*Indeksacja!BA$61</f>
        <v>693250.93086661573</v>
      </c>
      <c r="BB59" s="327">
        <f>BA59*Indeksacja!BB$61</f>
        <v>703797.74493296689</v>
      </c>
      <c r="BC59" s="327">
        <f>BB59*Indeksacja!BC$61</f>
        <v>714505.01357932296</v>
      </c>
      <c r="BD59" s="327">
        <f>BC59*Indeksacja!BD$61</f>
        <v>725375.17789093324</v>
      </c>
      <c r="BE59" s="327">
        <f>BD59*Indeksacja!BE$61</f>
        <v>736993.88737319852</v>
      </c>
      <c r="BF59" s="327">
        <f>BE59*Indeksacja!BF$61</f>
        <v>748798.69973594253</v>
      </c>
      <c r="BG59" s="327">
        <f>BF59*Indeksacja!BG$61</f>
        <v>760792.59588527842</v>
      </c>
      <c r="BH59" s="327">
        <f>BG59*Indeksacja!BH$61</f>
        <v>773590.24987826834</v>
      </c>
      <c r="BI59" s="327">
        <f>BH59*Indeksacja!BI$61</f>
        <v>786603.17929403449</v>
      </c>
    </row>
    <row r="60" spans="1:61" ht="18">
      <c r="A60" s="295" t="s">
        <v>167</v>
      </c>
      <c r="B60" s="296"/>
      <c r="C60" s="297"/>
      <c r="D60" s="297"/>
      <c r="E60" s="297"/>
      <c r="F60" s="297"/>
      <c r="G60" s="297"/>
      <c r="H60" s="297"/>
      <c r="I60" s="297"/>
      <c r="J60" s="297"/>
      <c r="K60" s="297"/>
      <c r="L60" s="297"/>
      <c r="M60" s="297"/>
      <c r="N60" s="297"/>
      <c r="O60" s="297"/>
      <c r="P60" s="297"/>
      <c r="Q60" s="298">
        <f>W15*$B$35*$Q$38*$Q$42/100</f>
        <v>154736.52480000001</v>
      </c>
      <c r="R60" s="299">
        <f>Q60*Indeksacja!R$61</f>
        <v>163891.88088340219</v>
      </c>
      <c r="S60" s="300">
        <f>R60*Indeksacja!S$61</f>
        <v>173711.77597119843</v>
      </c>
      <c r="T60" s="300">
        <f>S60*Indeksacja!T$61</f>
        <v>184393.89692710788</v>
      </c>
      <c r="U60" s="300">
        <f>T60*Indeksacja!U$61</f>
        <v>187297.30252082273</v>
      </c>
      <c r="V60" s="300">
        <f>U60*Indeksacja!V$61</f>
        <v>206185.80052991438</v>
      </c>
      <c r="W60" s="300">
        <f>V60*Indeksacja!W$61</f>
        <v>212782.36400870775</v>
      </c>
      <c r="X60" s="300">
        <f>W60*Indeksacja!X$61</f>
        <v>218594.818252383</v>
      </c>
      <c r="Y60" s="300">
        <f>X60*Indeksacja!Y$61</f>
        <v>224247.03546507139</v>
      </c>
      <c r="Z60" s="300">
        <f>Y60*Indeksacja!Z$61</f>
        <v>230258.47990996664</v>
      </c>
      <c r="AA60" s="300">
        <f>Z60*Indeksacja!AA$61</f>
        <v>236280.82249733663</v>
      </c>
      <c r="AB60" s="300">
        <f>AA60*Indeksacja!AB$61</f>
        <v>242496.20389833234</v>
      </c>
      <c r="AC60" s="300">
        <f>AB60*Indeksacja!AC$61</f>
        <v>248716.7248661725</v>
      </c>
      <c r="AD60" s="300">
        <f>AC60*Indeksacja!AD$61</f>
        <v>254933.46986979499</v>
      </c>
      <c r="AE60" s="300">
        <f>AD60*Indeksacja!AE$61</f>
        <v>261136.95877926287</v>
      </c>
      <c r="AF60" s="300">
        <f>AE60*Indeksacja!AF$61</f>
        <v>267532.772256125</v>
      </c>
      <c r="AG60" s="300">
        <f>AF60*Indeksacja!AG$61</f>
        <v>273910.24031608918</v>
      </c>
      <c r="AH60" s="300">
        <f>AG60*Indeksacja!AH$61</f>
        <v>280477.50802309823</v>
      </c>
      <c r="AI60" s="300">
        <f>AH60*Indeksacja!AI$61</f>
        <v>287012.12646983919</v>
      </c>
      <c r="AJ60" s="300">
        <f>AI60*Indeksacja!AJ$61</f>
        <v>293499.8777648239</v>
      </c>
      <c r="AK60" s="300">
        <f>AJ60*Indeksacja!AK$61</f>
        <v>299930.396789158</v>
      </c>
      <c r="AL60" s="300">
        <f>AK60*Indeksacja!AL$61</f>
        <v>306289.4997509846</v>
      </c>
      <c r="AM60" s="300">
        <f>AL60*Indeksacja!AM$61</f>
        <v>312562.77858448069</v>
      </c>
      <c r="AN60" s="300">
        <f>AM60*Indeksacja!AN$61</f>
        <v>318735.23010993859</v>
      </c>
      <c r="AO60" s="300">
        <f>AN60*Indeksacja!AO$61</f>
        <v>325049.92794984853</v>
      </c>
      <c r="AP60" s="300">
        <f>AO60*Indeksacja!AP$61</f>
        <v>330983.27392491186</v>
      </c>
      <c r="AQ60" s="300">
        <f>AP60*Indeksacja!AQ$61</f>
        <v>337041.1462390793</v>
      </c>
      <c r="AR60" s="300">
        <f>AQ60*Indeksacja!AR$61</f>
        <v>343223.82835453353</v>
      </c>
      <c r="AS60" s="300">
        <f>AR60*Indeksacja!AS$61</f>
        <v>349258.34487959556</v>
      </c>
      <c r="AT60" s="300">
        <f>AS60*Indeksacja!AT$61</f>
        <v>355131.515765641</v>
      </c>
      <c r="AU60" s="300">
        <f>AT60*Indeksacja!AU$61</f>
        <v>360830.32020326884</v>
      </c>
      <c r="AV60" s="300">
        <f>AU60*Indeksacja!AV$61</f>
        <v>366633.28674261854</v>
      </c>
      <c r="AW60" s="300">
        <f>AV60*Indeksacja!AW$61</f>
        <v>372539.45242737525</v>
      </c>
      <c r="AX60" s="300">
        <f>AW60*Indeksacja!AX$61</f>
        <v>378549.87555123633</v>
      </c>
      <c r="AY60" s="300">
        <f>AX60*Indeksacja!AY$61</f>
        <v>384359.47685147176</v>
      </c>
      <c r="AZ60" s="300">
        <f>AY60*Indeksacja!AZ$61</f>
        <v>390206.95250062086</v>
      </c>
      <c r="BA60" s="300">
        <f>AZ60*Indeksacja!BA$61</f>
        <v>396143.38906663738</v>
      </c>
      <c r="BB60" s="300">
        <f>BA60*Indeksacja!BB$61</f>
        <v>402170.13996169518</v>
      </c>
      <c r="BC60" s="300">
        <f>BB60*Indeksacja!BC$61</f>
        <v>408288.57918818435</v>
      </c>
      <c r="BD60" s="300">
        <f>BC60*Indeksacja!BD$61</f>
        <v>414500.10165196162</v>
      </c>
      <c r="BE60" s="300">
        <f>BD60*Indeksacja!BE$61</f>
        <v>421139.36421325605</v>
      </c>
      <c r="BF60" s="300">
        <f>BE60*Indeksacja!BF$61</f>
        <v>427884.97127768118</v>
      </c>
      <c r="BG60" s="300">
        <f>BF60*Indeksacja!BG$61</f>
        <v>434738.62622015883</v>
      </c>
      <c r="BH60" s="300">
        <f>BG60*Indeksacja!BH$61</f>
        <v>442051.57135901018</v>
      </c>
      <c r="BI60" s="300">
        <f>BH60*Indeksacja!BI$61</f>
        <v>449487.53102516226</v>
      </c>
    </row>
    <row r="61" spans="1:61" ht="18">
      <c r="A61" s="284" t="s">
        <v>168</v>
      </c>
      <c r="B61" s="285"/>
      <c r="C61" s="283"/>
      <c r="D61" s="283"/>
      <c r="E61" s="283"/>
      <c r="F61" s="283"/>
      <c r="G61" s="283"/>
      <c r="H61" s="283"/>
      <c r="I61" s="283"/>
      <c r="J61" s="283"/>
      <c r="K61" s="283"/>
      <c r="L61" s="283"/>
      <c r="M61" s="283"/>
      <c r="N61" s="283"/>
      <c r="O61" s="283"/>
      <c r="P61" s="283"/>
      <c r="Q61" s="286">
        <f>X15*$B$35*$Q$38*$Q$42/100</f>
        <v>15473.652480000001</v>
      </c>
      <c r="R61" s="287">
        <f>Q61*Indeksacja!R$61</f>
        <v>16389.188088340215</v>
      </c>
      <c r="S61" s="282">
        <f>R61*Indeksacja!S$61</f>
        <v>17371.177597119837</v>
      </c>
      <c r="T61" s="282">
        <f>S61*Indeksacja!T$61</f>
        <v>18439.389692710782</v>
      </c>
      <c r="U61" s="282">
        <f>T61*Indeksacja!U$61</f>
        <v>18729.730252082267</v>
      </c>
      <c r="V61" s="282">
        <f>U61*Indeksacja!V$61</f>
        <v>20618.58005299143</v>
      </c>
      <c r="W61" s="282">
        <f>V61*Indeksacja!W$61</f>
        <v>21278.236400870766</v>
      </c>
      <c r="X61" s="282">
        <f>W61*Indeksacja!X$61</f>
        <v>21859.481825238294</v>
      </c>
      <c r="Y61" s="282">
        <f>X61*Indeksacja!Y$61</f>
        <v>22424.703546507131</v>
      </c>
      <c r="Z61" s="282">
        <f>Y61*Indeksacja!Z$61</f>
        <v>23025.847990996659</v>
      </c>
      <c r="AA61" s="282">
        <f>Z61*Indeksacja!AA$61</f>
        <v>23628.082249733659</v>
      </c>
      <c r="AB61" s="282">
        <f>AA61*Indeksacja!AB$61</f>
        <v>24249.620389833231</v>
      </c>
      <c r="AC61" s="282">
        <f>AB61*Indeksacja!AC$61</f>
        <v>24871.672486617248</v>
      </c>
      <c r="AD61" s="282">
        <f>AC61*Indeksacja!AD$61</f>
        <v>25493.346986979497</v>
      </c>
      <c r="AE61" s="282">
        <f>AD61*Indeksacja!AE$61</f>
        <v>26113.695877926286</v>
      </c>
      <c r="AF61" s="282">
        <f>AE61*Indeksacja!AF$61</f>
        <v>26753.277225612499</v>
      </c>
      <c r="AG61" s="282">
        <f>AF61*Indeksacja!AG$61</f>
        <v>27391.024031608915</v>
      </c>
      <c r="AH61" s="282">
        <f>AG61*Indeksacja!AH$61</f>
        <v>28047.75080230982</v>
      </c>
      <c r="AI61" s="282">
        <f>AH61*Indeksacja!AI$61</f>
        <v>28701.212646983917</v>
      </c>
      <c r="AJ61" s="282">
        <f>AI61*Indeksacja!AJ$61</f>
        <v>29349.987776482387</v>
      </c>
      <c r="AK61" s="282">
        <f>AJ61*Indeksacja!AK$61</f>
        <v>29993.039678915793</v>
      </c>
      <c r="AL61" s="282">
        <f>AK61*Indeksacja!AL$61</f>
        <v>30628.949975098451</v>
      </c>
      <c r="AM61" s="282">
        <f>AL61*Indeksacja!AM$61</f>
        <v>31256.277858448062</v>
      </c>
      <c r="AN61" s="282">
        <f>AM61*Indeksacja!AN$61</f>
        <v>31873.523010993853</v>
      </c>
      <c r="AO61" s="282">
        <f>AN61*Indeksacja!AO$61</f>
        <v>32504.992794984842</v>
      </c>
      <c r="AP61" s="282">
        <f>AO61*Indeksacja!AP$61</f>
        <v>33098.327392491177</v>
      </c>
      <c r="AQ61" s="282">
        <f>AP61*Indeksacja!AQ$61</f>
        <v>33704.114623907924</v>
      </c>
      <c r="AR61" s="282">
        <f>AQ61*Indeksacja!AR$61</f>
        <v>34322.382835453347</v>
      </c>
      <c r="AS61" s="282">
        <f>AR61*Indeksacja!AS$61</f>
        <v>34925.834487959546</v>
      </c>
      <c r="AT61" s="282">
        <f>AS61*Indeksacja!AT$61</f>
        <v>35513.151576564087</v>
      </c>
      <c r="AU61" s="282">
        <f>AT61*Indeksacja!AU$61</f>
        <v>36083.032020326871</v>
      </c>
      <c r="AV61" s="282">
        <f>AU61*Indeksacja!AV$61</f>
        <v>36663.328674261844</v>
      </c>
      <c r="AW61" s="282">
        <f>AV61*Indeksacja!AW$61</f>
        <v>37253.945242737514</v>
      </c>
      <c r="AX61" s="282">
        <f>AW61*Indeksacja!AX$61</f>
        <v>37854.987555123618</v>
      </c>
      <c r="AY61" s="282">
        <f>AX61*Indeksacja!AY$61</f>
        <v>38435.947685147163</v>
      </c>
      <c r="AZ61" s="282">
        <f>AY61*Indeksacja!AZ$61</f>
        <v>39020.695250062076</v>
      </c>
      <c r="BA61" s="282">
        <f>AZ61*Indeksacja!BA$61</f>
        <v>39614.338906663732</v>
      </c>
      <c r="BB61" s="282">
        <f>BA61*Indeksacja!BB$61</f>
        <v>40217.013996169517</v>
      </c>
      <c r="BC61" s="282">
        <f>BB61*Indeksacja!BC$61</f>
        <v>40828.857918818438</v>
      </c>
      <c r="BD61" s="282">
        <f>BC61*Indeksacja!BD$61</f>
        <v>41450.010165196167</v>
      </c>
      <c r="BE61" s="282">
        <f>BD61*Indeksacja!BE$61</f>
        <v>42113.936421325612</v>
      </c>
      <c r="BF61" s="282">
        <f>BE61*Indeksacja!BF$61</f>
        <v>42788.497127768125</v>
      </c>
      <c r="BG61" s="282">
        <f>BF61*Indeksacja!BG$61</f>
        <v>43473.862622015891</v>
      </c>
      <c r="BH61" s="282">
        <f>BG61*Indeksacja!BH$61</f>
        <v>44205.157135901027</v>
      </c>
      <c r="BI61" s="282">
        <f>BH61*Indeksacja!BI$61</f>
        <v>44948.753102516239</v>
      </c>
    </row>
    <row r="62" spans="1:61" ht="15" customHeight="1">
      <c r="A62" s="742" t="s">
        <v>767</v>
      </c>
      <c r="B62" s="742"/>
      <c r="C62" s="742"/>
      <c r="D62" s="742"/>
      <c r="E62" s="742"/>
      <c r="F62" s="742"/>
      <c r="G62" s="742"/>
      <c r="H62" s="742"/>
      <c r="I62" s="742"/>
      <c r="J62" s="742"/>
      <c r="K62" s="742"/>
      <c r="L62" s="742"/>
      <c r="M62" s="742"/>
      <c r="N62" s="742"/>
      <c r="O62" s="742"/>
      <c r="P62" s="742"/>
      <c r="Q62" s="742"/>
    </row>
    <row r="63" spans="1:61" s="694" customFormat="1" ht="15" customHeight="1">
      <c r="A63" s="715"/>
      <c r="B63" s="715"/>
      <c r="C63" s="715"/>
      <c r="D63" s="715"/>
      <c r="E63" s="715"/>
      <c r="F63" s="715"/>
      <c r="G63" s="715"/>
      <c r="H63" s="715"/>
      <c r="I63" s="715"/>
      <c r="J63" s="715"/>
      <c r="K63" s="715"/>
      <c r="L63" s="715"/>
      <c r="M63" s="715"/>
      <c r="N63" s="715"/>
      <c r="O63" s="715"/>
      <c r="P63" s="715"/>
      <c r="Q63" s="715"/>
    </row>
    <row r="64" spans="1:61" s="561" customFormat="1" ht="15" customHeight="1">
      <c r="A64" s="561" t="s">
        <v>768</v>
      </c>
    </row>
    <row r="65" spans="1:1" s="561" customFormat="1" ht="15" customHeight="1">
      <c r="A65" s="561" t="s">
        <v>769</v>
      </c>
    </row>
    <row r="66" spans="1:1" ht="15" customHeight="1"/>
    <row r="67" spans="1:1" ht="15" hidden="1" customHeight="1"/>
    <row r="68" spans="1:1" ht="15" hidden="1" customHeight="1"/>
    <row r="69" spans="1:1" ht="15" hidden="1" customHeight="1"/>
    <row r="70" spans="1:1" ht="15" hidden="1" customHeight="1"/>
    <row r="71" spans="1:1" ht="15" hidden="1" customHeight="1"/>
    <row r="72" spans="1:1" ht="15" hidden="1" customHeight="1"/>
    <row r="73" spans="1:1" ht="15" hidden="1" customHeight="1"/>
    <row r="74" spans="1:1" ht="15" hidden="1" customHeight="1"/>
    <row r="75" spans="1:1" ht="15" hidden="1" customHeight="1"/>
    <row r="76" spans="1:1" ht="15" hidden="1" customHeight="1"/>
    <row r="77" spans="1:1" ht="15" hidden="1" customHeight="1"/>
    <row r="78" spans="1:1" ht="15" hidden="1" customHeight="1"/>
    <row r="79" spans="1:1" ht="15" hidden="1" customHeight="1"/>
    <row r="80" spans="1:1"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sheetData>
  <mergeCells count="14">
    <mergeCell ref="A62:Q63"/>
    <mergeCell ref="A26:Q27"/>
    <mergeCell ref="A4:Q5"/>
    <mergeCell ref="A51:A52"/>
    <mergeCell ref="A11:A13"/>
    <mergeCell ref="A9:Q10"/>
    <mergeCell ref="S11:T11"/>
    <mergeCell ref="U11:W11"/>
    <mergeCell ref="S12:T12"/>
    <mergeCell ref="U12:W12"/>
    <mergeCell ref="A49:Q50"/>
    <mergeCell ref="A19:Q20"/>
    <mergeCell ref="A22:Q24"/>
    <mergeCell ref="A45:Q46"/>
  </mergeCells>
  <hyperlinks>
    <hyperlink ref="A47" location="Indeksacja!A29" display="Nota metodologiczna"/>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29.28515625" customWidth="1"/>
    <col min="2" max="2" width="10.28515625" customWidth="1"/>
    <col min="3" max="15" width="1.7109375" hidden="1" customWidth="1" outlineLevel="1"/>
    <col min="16" max="16" width="13.7109375" customWidth="1" collapsed="1"/>
    <col min="17" max="18" width="13.7109375" customWidth="1"/>
    <col min="19" max="19" width="14.7109375" customWidth="1"/>
    <col min="20" max="61" width="10" bestFit="1" customWidth="1"/>
    <col min="62" max="62" width="9.140625" customWidth="1"/>
    <col min="63" max="16384" width="9.140625" hidden="1"/>
  </cols>
  <sheetData>
    <row r="1" spans="1:61" ht="21">
      <c r="A1" s="4" t="s">
        <v>224</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69" t="str">
        <f>Indeksacja!$A$2</f>
        <v>Dla roku bazowego 2022 właściwe do zastosowania w analizie są wartości kosztów jednostkowych określone według poziomu cenowego z końca roku poprzedniego, tzn. 2021.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row>
    <row r="3" spans="1:61"/>
    <row r="4" spans="1:61">
      <c r="A4" s="206" t="str">
        <f>'VOC eksploatacja samochody'!$A$4</f>
        <v>Prognoza zmian struktury floty pojazdów drogowych w Polsce pod względem rodzaju paliwa</v>
      </c>
    </row>
    <row r="5" spans="1:61">
      <c r="A5" s="369" t="s">
        <v>542</v>
      </c>
    </row>
    <row r="6" spans="1:61">
      <c r="A6" s="715" t="s">
        <v>544</v>
      </c>
      <c r="B6" s="715"/>
      <c r="C6" s="715"/>
      <c r="D6" s="715"/>
      <c r="E6" s="715"/>
      <c r="F6" s="715"/>
      <c r="G6" s="715"/>
      <c r="H6" s="715"/>
      <c r="I6" s="715"/>
      <c r="J6" s="715"/>
      <c r="K6" s="715"/>
      <c r="L6" s="715"/>
      <c r="M6" s="715"/>
      <c r="N6" s="715"/>
      <c r="O6" s="715"/>
      <c r="P6" s="715"/>
      <c r="Q6" s="715"/>
      <c r="R6" s="715"/>
      <c r="S6" s="715"/>
      <c r="T6" s="715"/>
      <c r="U6" s="715"/>
      <c r="V6" s="715"/>
    </row>
    <row r="7" spans="1:61" s="694" customFormat="1">
      <c r="A7" s="715"/>
      <c r="B7" s="715"/>
      <c r="C7" s="715"/>
      <c r="D7" s="715"/>
      <c r="E7" s="715"/>
      <c r="F7" s="715"/>
      <c r="G7" s="715"/>
      <c r="H7" s="715"/>
      <c r="I7" s="715"/>
      <c r="J7" s="715"/>
      <c r="K7" s="715"/>
      <c r="L7" s="715"/>
      <c r="M7" s="715"/>
      <c r="N7" s="715"/>
      <c r="O7" s="715"/>
      <c r="P7" s="715"/>
      <c r="Q7" s="715"/>
      <c r="R7" s="715"/>
      <c r="S7" s="715"/>
      <c r="T7" s="715"/>
      <c r="U7" s="715"/>
      <c r="V7" s="715"/>
    </row>
    <row r="8" spans="1:61" s="490" customFormat="1"/>
    <row r="9" spans="1:61">
      <c r="A9" s="132" t="s">
        <v>543</v>
      </c>
      <c r="B9" s="647"/>
    </row>
    <row r="10" spans="1:61" s="694" customFormat="1">
      <c r="A10"/>
      <c r="B10"/>
      <c r="C10"/>
      <c r="D10"/>
      <c r="E10"/>
      <c r="F10"/>
      <c r="G10"/>
      <c r="H10"/>
      <c r="I10"/>
      <c r="J10"/>
      <c r="K10"/>
      <c r="L10"/>
      <c r="M10"/>
      <c r="N10"/>
      <c r="O10"/>
      <c r="P10"/>
    </row>
    <row r="11" spans="1:61" s="694" customFormat="1">
      <c r="A11"/>
      <c r="B11"/>
      <c r="C11"/>
      <c r="D11"/>
      <c r="E11"/>
      <c r="F11"/>
      <c r="G11"/>
      <c r="H11"/>
      <c r="I11"/>
      <c r="J11"/>
      <c r="K11"/>
      <c r="L11"/>
      <c r="M11"/>
      <c r="N11"/>
      <c r="O11"/>
      <c r="P11"/>
    </row>
    <row r="12" spans="1:61" s="694" customFormat="1">
      <c r="A12"/>
      <c r="B12"/>
      <c r="C12"/>
      <c r="D12"/>
      <c r="E12"/>
      <c r="F12"/>
      <c r="G12"/>
      <c r="H12"/>
      <c r="I12"/>
      <c r="J12"/>
      <c r="K12"/>
      <c r="L12"/>
      <c r="M12"/>
      <c r="N12"/>
      <c r="O12"/>
      <c r="P12"/>
    </row>
    <row r="13" spans="1:61" s="694" customFormat="1">
      <c r="A13"/>
      <c r="B13"/>
      <c r="C13"/>
      <c r="D13"/>
      <c r="E13"/>
      <c r="F13"/>
      <c r="G13"/>
      <c r="H13"/>
      <c r="I13"/>
      <c r="J13"/>
      <c r="K13"/>
      <c r="L13"/>
      <c r="M13"/>
      <c r="N13"/>
      <c r="O13"/>
      <c r="P13"/>
    </row>
    <row r="14" spans="1:61" s="694" customFormat="1">
      <c r="A14"/>
      <c r="B14"/>
      <c r="C14"/>
      <c r="D14"/>
      <c r="E14"/>
      <c r="F14"/>
      <c r="G14"/>
      <c r="H14"/>
      <c r="I14"/>
      <c r="J14"/>
      <c r="K14"/>
      <c r="L14"/>
      <c r="M14"/>
      <c r="N14"/>
      <c r="O14"/>
      <c r="P14"/>
    </row>
    <row r="15" spans="1:61" s="694" customFormat="1">
      <c r="A15"/>
      <c r="B15"/>
      <c r="C15"/>
      <c r="D15"/>
      <c r="E15"/>
      <c r="F15"/>
      <c r="G15"/>
      <c r="H15"/>
      <c r="I15"/>
      <c r="J15"/>
      <c r="K15"/>
      <c r="L15"/>
      <c r="M15"/>
      <c r="N15"/>
      <c r="O15"/>
      <c r="P15"/>
    </row>
    <row r="16" spans="1:61" s="694" customFormat="1">
      <c r="A16"/>
      <c r="B16"/>
      <c r="C16"/>
      <c r="D16"/>
      <c r="E16"/>
      <c r="F16"/>
      <c r="G16"/>
      <c r="H16"/>
      <c r="I16"/>
      <c r="J16"/>
      <c r="K16"/>
      <c r="L16"/>
      <c r="M16"/>
      <c r="N16"/>
      <c r="O16"/>
      <c r="P16"/>
    </row>
    <row r="17" spans="1:25" s="694" customFormat="1">
      <c r="A17"/>
      <c r="B17"/>
      <c r="C17"/>
      <c r="D17"/>
      <c r="E17"/>
      <c r="F17"/>
      <c r="G17"/>
      <c r="H17"/>
      <c r="I17"/>
      <c r="J17"/>
      <c r="K17"/>
      <c r="L17"/>
      <c r="M17"/>
      <c r="N17"/>
      <c r="O17"/>
      <c r="P17"/>
    </row>
    <row r="18" spans="1:25" s="369" customFormat="1" hidden="1" outlineLevel="1">
      <c r="A18" s="1" t="s">
        <v>225</v>
      </c>
    </row>
    <row r="19" spans="1:25" s="369" customFormat="1" hidden="1" outlineLevel="1">
      <c r="Q19" s="794" t="s">
        <v>209</v>
      </c>
      <c r="R19" s="795"/>
      <c r="S19" s="796"/>
      <c r="U19" s="794" t="s">
        <v>80</v>
      </c>
      <c r="V19" s="795"/>
      <c r="W19" s="796"/>
    </row>
    <row r="20" spans="1:25" ht="45" hidden="1" outlineLevel="1">
      <c r="A20" s="397" t="s">
        <v>231</v>
      </c>
      <c r="B20" s="397" t="s">
        <v>232</v>
      </c>
      <c r="C20" s="397"/>
      <c r="D20" s="397"/>
      <c r="E20" s="397"/>
      <c r="F20" s="397"/>
      <c r="G20" s="397"/>
      <c r="H20" s="397"/>
      <c r="I20" s="397"/>
      <c r="J20" s="397"/>
      <c r="K20" s="397"/>
      <c r="L20" s="397"/>
      <c r="M20" s="397"/>
      <c r="N20" s="397"/>
      <c r="O20" s="397"/>
      <c r="P20" s="398" t="s">
        <v>233</v>
      </c>
      <c r="Q20" s="408" t="s">
        <v>247</v>
      </c>
      <c r="R20" s="408" t="s">
        <v>237</v>
      </c>
      <c r="S20" s="408" t="s">
        <v>238</v>
      </c>
      <c r="T20" s="409" t="s">
        <v>241</v>
      </c>
      <c r="U20" s="408" t="s">
        <v>247</v>
      </c>
      <c r="V20" s="408" t="s">
        <v>237</v>
      </c>
      <c r="W20" s="408" t="s">
        <v>238</v>
      </c>
      <c r="X20" s="492" t="s">
        <v>273</v>
      </c>
      <c r="Y20" s="492" t="s">
        <v>274</v>
      </c>
    </row>
    <row r="21" spans="1:25" s="369" customFormat="1" hidden="1" outlineLevel="1">
      <c r="A21" s="399"/>
      <c r="B21" s="399"/>
      <c r="C21" s="399"/>
      <c r="D21" s="399"/>
      <c r="E21" s="399"/>
      <c r="F21" s="399"/>
      <c r="G21" s="399"/>
      <c r="H21" s="399"/>
      <c r="I21" s="399"/>
      <c r="J21" s="399"/>
      <c r="K21" s="399"/>
      <c r="L21" s="399"/>
      <c r="M21" s="399"/>
      <c r="N21" s="399"/>
      <c r="O21" s="399"/>
      <c r="P21" s="415"/>
      <c r="Q21" s="415"/>
      <c r="R21" s="415"/>
      <c r="S21" s="415"/>
      <c r="T21" s="416"/>
      <c r="U21" s="417"/>
      <c r="V21" s="415"/>
      <c r="W21" s="415"/>
      <c r="X21" s="493"/>
      <c r="Y21" s="493"/>
    </row>
    <row r="22" spans="1:25" s="369" customFormat="1" hidden="1" outlineLevel="1">
      <c r="A22" s="407" t="s">
        <v>242</v>
      </c>
      <c r="B22" s="407"/>
      <c r="C22" s="407"/>
      <c r="D22" s="407"/>
      <c r="E22" s="407"/>
      <c r="F22" s="407"/>
      <c r="G22" s="407"/>
      <c r="H22" s="407"/>
      <c r="I22" s="407"/>
      <c r="J22" s="407"/>
      <c r="K22" s="407"/>
      <c r="L22" s="407"/>
      <c r="M22" s="407"/>
      <c r="N22" s="407"/>
      <c r="O22" s="407"/>
      <c r="P22" s="418"/>
      <c r="Q22" s="418"/>
      <c r="R22" s="418"/>
      <c r="S22" s="418"/>
      <c r="T22" s="419"/>
      <c r="U22" s="420"/>
      <c r="V22" s="418"/>
      <c r="W22" s="418"/>
      <c r="X22" s="494"/>
      <c r="Y22" s="494"/>
    </row>
    <row r="23" spans="1:25" hidden="1" outlineLevel="1">
      <c r="A23" s="818" t="s">
        <v>89</v>
      </c>
      <c r="B23" s="816" t="s">
        <v>226</v>
      </c>
      <c r="C23" s="399"/>
      <c r="D23" s="399"/>
      <c r="E23" s="399"/>
      <c r="F23" s="399"/>
      <c r="G23" s="399"/>
      <c r="H23" s="399"/>
      <c r="I23" s="399"/>
      <c r="J23" s="399"/>
      <c r="K23" s="399"/>
      <c r="L23" s="399"/>
      <c r="M23" s="399"/>
      <c r="N23" s="399"/>
      <c r="O23" s="399"/>
      <c r="P23" s="399" t="s">
        <v>235</v>
      </c>
      <c r="Q23" s="400">
        <v>0.74928113584844391</v>
      </c>
      <c r="R23" s="400">
        <v>4.2226853003254371E-2</v>
      </c>
      <c r="S23" s="400">
        <v>5.8921190237099129E-3</v>
      </c>
      <c r="T23" s="825">
        <f>'Hałas-zagreg.śred.PL'!R13</f>
        <v>0.11584907925593915</v>
      </c>
      <c r="U23" s="400">
        <f>IFERROR(Q23*(100%+$T$23),"brak")</f>
        <v>0.83608466554033045</v>
      </c>
      <c r="V23" s="400">
        <f>IFERROR(R23*(100%+$T$23),"brak")</f>
        <v>4.7118795043557281E-2</v>
      </c>
      <c r="W23" s="400">
        <f>IFERROR(S23*(100%+$T$23),"brak")</f>
        <v>6.5747155874731102E-3</v>
      </c>
      <c r="X23" s="495">
        <f>IFERROR(U23/V23,"brak")</f>
        <v>17.744186046511629</v>
      </c>
      <c r="Y23" s="495">
        <f>IFERROR(W23/V23,"brak")</f>
        <v>0.13953488372093026</v>
      </c>
    </row>
    <row r="24" spans="1:25" hidden="1" outlineLevel="1">
      <c r="A24" s="818"/>
      <c r="B24" s="817"/>
      <c r="C24" s="405"/>
      <c r="D24" s="405"/>
      <c r="E24" s="405"/>
      <c r="F24" s="405"/>
      <c r="G24" s="405"/>
      <c r="H24" s="405"/>
      <c r="I24" s="405"/>
      <c r="J24" s="405"/>
      <c r="K24" s="405"/>
      <c r="L24" s="405"/>
      <c r="M24" s="405"/>
      <c r="N24" s="405"/>
      <c r="O24" s="405"/>
      <c r="P24" s="405" t="s">
        <v>236</v>
      </c>
      <c r="Q24" s="406">
        <v>1.8157546791399379</v>
      </c>
      <c r="R24" s="406">
        <v>0.11686036063691324</v>
      </c>
      <c r="S24" s="406">
        <v>1.3748277721989798E-2</v>
      </c>
      <c r="T24" s="826"/>
      <c r="U24" s="406">
        <f t="shared" ref="U24:U26" si="0">IFERROR(Q24*(100%+$T$23),"brak")</f>
        <v>2.0261081868729631</v>
      </c>
      <c r="V24" s="406">
        <f t="shared" ref="V24:V26" si="1">IFERROR(R24*(100%+$T$23),"brak")</f>
        <v>0.13039852581821665</v>
      </c>
      <c r="W24" s="406">
        <f t="shared" ref="W24:W26" si="2">IFERROR(S24*(100%+$T$23),"brak")</f>
        <v>1.5341003037437257E-2</v>
      </c>
      <c r="X24" s="496">
        <f t="shared" ref="X24:X42" si="3">IFERROR(U24/V24,"brak")</f>
        <v>15.537815126050422</v>
      </c>
      <c r="Y24" s="496">
        <f t="shared" ref="Y24:Y42" si="4">IFERROR(W24/V24,"brak")</f>
        <v>0.11764705882352944</v>
      </c>
    </row>
    <row r="25" spans="1:25" hidden="1" outlineLevel="1">
      <c r="A25" s="818"/>
      <c r="B25" s="815" t="s">
        <v>227</v>
      </c>
      <c r="C25" s="403"/>
      <c r="D25" s="403"/>
      <c r="E25" s="403"/>
      <c r="F25" s="403"/>
      <c r="G25" s="403"/>
      <c r="H25" s="403"/>
      <c r="I25" s="403"/>
      <c r="J25" s="403"/>
      <c r="K25" s="403"/>
      <c r="L25" s="403"/>
      <c r="M25" s="403"/>
      <c r="N25" s="403"/>
      <c r="O25" s="403"/>
      <c r="P25" s="403" t="s">
        <v>235</v>
      </c>
      <c r="Q25" s="404">
        <v>1.3640255539888448</v>
      </c>
      <c r="R25" s="404">
        <v>7.6597547308228861E-2</v>
      </c>
      <c r="S25" s="404">
        <v>1.1784238047419826E-2</v>
      </c>
      <c r="T25" s="826"/>
      <c r="U25" s="404">
        <f t="shared" si="0"/>
        <v>1.522046658500025</v>
      </c>
      <c r="V25" s="404">
        <f t="shared" si="1"/>
        <v>8.5471302637150415E-2</v>
      </c>
      <c r="W25" s="404">
        <f t="shared" si="2"/>
        <v>1.314943117494622E-2</v>
      </c>
      <c r="X25" s="497">
        <f t="shared" si="3"/>
        <v>17.80769230769231</v>
      </c>
      <c r="Y25" s="497">
        <f t="shared" si="4"/>
        <v>0.15384615384615388</v>
      </c>
    </row>
    <row r="26" spans="1:25" hidden="1" outlineLevel="1">
      <c r="A26" s="818"/>
      <c r="B26" s="816"/>
      <c r="C26" s="401"/>
      <c r="D26" s="401"/>
      <c r="E26" s="401"/>
      <c r="F26" s="401"/>
      <c r="G26" s="401"/>
      <c r="H26" s="401"/>
      <c r="I26" s="401"/>
      <c r="J26" s="401"/>
      <c r="K26" s="401"/>
      <c r="L26" s="401"/>
      <c r="M26" s="401"/>
      <c r="N26" s="401"/>
      <c r="O26" s="401"/>
      <c r="P26" s="401" t="s">
        <v>236</v>
      </c>
      <c r="Q26" s="402">
        <v>3.307442811975831</v>
      </c>
      <c r="R26" s="402">
        <v>0.21408032452812681</v>
      </c>
      <c r="S26" s="402">
        <v>2.4550495932124636E-2</v>
      </c>
      <c r="T26" s="827"/>
      <c r="U26" s="402">
        <f t="shared" si="0"/>
        <v>3.6906070164349054</v>
      </c>
      <c r="V26" s="402">
        <f t="shared" si="1"/>
        <v>0.23888133301152295</v>
      </c>
      <c r="W26" s="402">
        <f t="shared" si="2"/>
        <v>2.7394648281137957E-2</v>
      </c>
      <c r="X26" s="498">
        <f t="shared" si="3"/>
        <v>15.449541284403672</v>
      </c>
      <c r="Y26" s="498">
        <f t="shared" si="4"/>
        <v>0.11467889908256883</v>
      </c>
    </row>
    <row r="27" spans="1:25" hidden="1" outlineLevel="1">
      <c r="A27" s="818" t="s">
        <v>240</v>
      </c>
      <c r="B27" s="816" t="s">
        <v>226</v>
      </c>
      <c r="C27" s="399"/>
      <c r="D27" s="399"/>
      <c r="E27" s="399"/>
      <c r="F27" s="399"/>
      <c r="G27" s="399"/>
      <c r="H27" s="399"/>
      <c r="I27" s="399"/>
      <c r="J27" s="399"/>
      <c r="K27" s="399"/>
      <c r="L27" s="399"/>
      <c r="M27" s="399"/>
      <c r="N27" s="399"/>
      <c r="O27" s="399"/>
      <c r="P27" s="399" t="s">
        <v>235</v>
      </c>
      <c r="Q27" s="400">
        <v>8.3547017543272073</v>
      </c>
      <c r="R27" s="400">
        <v>0.46917794914551303</v>
      </c>
      <c r="S27" s="400">
        <v>6.9066804696547579E-2</v>
      </c>
      <c r="T27" s="825">
        <f>'Hałas-zagreg.śred.PL'!R16</f>
        <v>0.24111680750265169</v>
      </c>
      <c r="U27" s="400">
        <f>IFERROR(Q27*(100%+$T$27),"brak")</f>
        <v>10.369160768967387</v>
      </c>
      <c r="V27" s="400">
        <f>IFERROR(R27*(100%+$T$27),"brak")</f>
        <v>0.58230463839412061</v>
      </c>
      <c r="W27" s="400">
        <f>IFERROR(S27*(100%+$T$27),"brak")</f>
        <v>8.5719972149388285E-2</v>
      </c>
      <c r="X27" s="495">
        <f t="shared" si="3"/>
        <v>17.80710659898477</v>
      </c>
      <c r="Y27" s="495">
        <f t="shared" si="4"/>
        <v>0.14720812182741111</v>
      </c>
    </row>
    <row r="28" spans="1:25" hidden="1" outlineLevel="1">
      <c r="A28" s="818"/>
      <c r="B28" s="817"/>
      <c r="C28" s="405"/>
      <c r="D28" s="405"/>
      <c r="E28" s="405"/>
      <c r="F28" s="405"/>
      <c r="G28" s="405"/>
      <c r="H28" s="405"/>
      <c r="I28" s="405"/>
      <c r="J28" s="405"/>
      <c r="K28" s="405"/>
      <c r="L28" s="405"/>
      <c r="M28" s="405"/>
      <c r="N28" s="405"/>
      <c r="O28" s="405"/>
      <c r="P28" s="405" t="s">
        <v>236</v>
      </c>
      <c r="Q28" s="406">
        <v>20.256817494706404</v>
      </c>
      <c r="R28" s="406">
        <v>1.3086968683018243</v>
      </c>
      <c r="S28" s="406">
        <v>0.15123248614588872</v>
      </c>
      <c r="T28" s="826"/>
      <c r="U28" s="406">
        <f t="shared" ref="U28:U30" si="5">IFERROR(Q28*(100%+$T$27),"brak")</f>
        <v>25.141076659193875</v>
      </c>
      <c r="V28" s="406">
        <f t="shared" ref="V28:V30" si="6">IFERROR(R28*(100%+$T$27),"brak")</f>
        <v>1.6242456791754785</v>
      </c>
      <c r="W28" s="406">
        <f t="shared" ref="W28:W30" si="7">IFERROR(S28*(100%+$T$27),"brak")</f>
        <v>0.18769718039607441</v>
      </c>
      <c r="X28" s="496">
        <f t="shared" si="3"/>
        <v>15.4786169244768</v>
      </c>
      <c r="Y28" s="496">
        <f t="shared" si="4"/>
        <v>0.11555959963603277</v>
      </c>
    </row>
    <row r="29" spans="1:25" hidden="1" outlineLevel="1">
      <c r="A29" s="818"/>
      <c r="B29" s="815" t="s">
        <v>227</v>
      </c>
      <c r="C29" s="403"/>
      <c r="D29" s="403"/>
      <c r="E29" s="403"/>
      <c r="F29" s="403"/>
      <c r="G29" s="403"/>
      <c r="H29" s="403"/>
      <c r="I29" s="403"/>
      <c r="J29" s="403"/>
      <c r="K29" s="403"/>
      <c r="L29" s="403"/>
      <c r="M29" s="403"/>
      <c r="N29" s="403"/>
      <c r="O29" s="403"/>
      <c r="P29" s="403" t="s">
        <v>235</v>
      </c>
      <c r="Q29" s="404">
        <v>15.21732236581348</v>
      </c>
      <c r="R29" s="404">
        <v>0.85499940986415823</v>
      </c>
      <c r="S29" s="404">
        <v>0.1262255396178284</v>
      </c>
      <c r="T29" s="826"/>
      <c r="U29" s="404">
        <f t="shared" si="5"/>
        <v>18.886474553397125</v>
      </c>
      <c r="V29" s="404">
        <f t="shared" si="6"/>
        <v>1.0611541379872553</v>
      </c>
      <c r="W29" s="404">
        <f t="shared" si="7"/>
        <v>0.15666063875577868</v>
      </c>
      <c r="X29" s="497">
        <f t="shared" si="3"/>
        <v>17.798050139275766</v>
      </c>
      <c r="Y29" s="497">
        <f t="shared" si="4"/>
        <v>0.14763231197771592</v>
      </c>
    </row>
    <row r="30" spans="1:25" hidden="1" outlineLevel="1">
      <c r="A30" s="818"/>
      <c r="B30" s="816"/>
      <c r="C30" s="401"/>
      <c r="D30" s="401"/>
      <c r="E30" s="401"/>
      <c r="F30" s="401"/>
      <c r="G30" s="401"/>
      <c r="H30" s="401"/>
      <c r="I30" s="401"/>
      <c r="J30" s="401"/>
      <c r="K30" s="401"/>
      <c r="L30" s="401"/>
      <c r="M30" s="401"/>
      <c r="N30" s="401"/>
      <c r="O30" s="401"/>
      <c r="P30" s="401" t="s">
        <v>236</v>
      </c>
      <c r="Q30" s="402">
        <v>36.89358177773169</v>
      </c>
      <c r="R30" s="402">
        <v>2.3828047620308923</v>
      </c>
      <c r="S30" s="402">
        <v>0.27507641180866371</v>
      </c>
      <c r="T30" s="827"/>
      <c r="U30" s="402">
        <f t="shared" si="5"/>
        <v>45.789244433316362</v>
      </c>
      <c r="V30" s="402">
        <f t="shared" si="6"/>
        <v>2.9573390391538967</v>
      </c>
      <c r="W30" s="402">
        <f t="shared" si="7"/>
        <v>0.34140195804325346</v>
      </c>
      <c r="X30" s="498">
        <f t="shared" si="3"/>
        <v>15.483258370814594</v>
      </c>
      <c r="Y30" s="498">
        <f t="shared" si="4"/>
        <v>0.11544227886056972</v>
      </c>
    </row>
    <row r="31" spans="1:25" ht="15" hidden="1" customHeight="1" outlineLevel="1">
      <c r="A31" s="818" t="s">
        <v>806</v>
      </c>
      <c r="B31" s="816" t="s">
        <v>226</v>
      </c>
      <c r="C31" s="399"/>
      <c r="D31" s="399"/>
      <c r="E31" s="399"/>
      <c r="F31" s="399"/>
      <c r="G31" s="399"/>
      <c r="H31" s="399"/>
      <c r="I31" s="399"/>
      <c r="J31" s="399"/>
      <c r="K31" s="399"/>
      <c r="L31" s="399"/>
      <c r="M31" s="399"/>
      <c r="N31" s="399"/>
      <c r="O31" s="399"/>
      <c r="P31" s="399" t="s">
        <v>235</v>
      </c>
      <c r="Q31" s="400">
        <v>7.1470148123105632</v>
      </c>
      <c r="R31" s="400">
        <v>0.4011175373287334</v>
      </c>
      <c r="S31" s="400">
        <v>5.9980192497754534E-2</v>
      </c>
      <c r="T31" s="825">
        <f>'Hałas-zagreg.śred.PL'!R21</f>
        <v>-8.3762501760418426E-2</v>
      </c>
      <c r="U31" s="400">
        <f>IFERROR(Q31*(100%+$T$31),"brak")</f>
        <v>6.5483629715126632</v>
      </c>
      <c r="V31" s="400">
        <f>IFERROR(R31*(100%+$T$31),"brak")</f>
        <v>0.36751892890210064</v>
      </c>
      <c r="W31" s="400">
        <f>IFERROR(S31*(100%+$T$31),"brak")</f>
        <v>5.4956101518071135E-2</v>
      </c>
      <c r="X31" s="495">
        <f t="shared" si="3"/>
        <v>17.817757009345797</v>
      </c>
      <c r="Y31" s="495">
        <f t="shared" si="4"/>
        <v>0.14953271028037388</v>
      </c>
    </row>
    <row r="32" spans="1:25" hidden="1" outlineLevel="1">
      <c r="A32" s="818"/>
      <c r="B32" s="817"/>
      <c r="C32" s="405"/>
      <c r="D32" s="405"/>
      <c r="E32" s="405"/>
      <c r="F32" s="405"/>
      <c r="G32" s="405"/>
      <c r="H32" s="405"/>
      <c r="I32" s="405"/>
      <c r="J32" s="405"/>
      <c r="K32" s="405"/>
      <c r="L32" s="405"/>
      <c r="M32" s="405"/>
      <c r="N32" s="405"/>
      <c r="O32" s="405"/>
      <c r="P32" s="405" t="s">
        <v>236</v>
      </c>
      <c r="Q32" s="406">
        <v>17.328652488804394</v>
      </c>
      <c r="R32" s="406">
        <v>1.119005466286233</v>
      </c>
      <c r="S32" s="406">
        <v>0.1293322900732832</v>
      </c>
      <c r="T32" s="826"/>
      <c r="U32" s="406">
        <f t="shared" ref="U32:U34" si="8">IFERROR(Q32*(100%+$T$31),"brak")</f>
        <v>15.877161204205237</v>
      </c>
      <c r="V32" s="406">
        <f t="shared" ref="V32:V34" si="9">IFERROR(R32*(100%+$T$31),"brak")</f>
        <v>1.0252747689465145</v>
      </c>
      <c r="W32" s="406">
        <f t="shared" ref="W32:W34" si="10">IFERROR(S32*(100%+$T$31),"brak")</f>
        <v>0.11849909389834087</v>
      </c>
      <c r="X32" s="496">
        <f t="shared" si="3"/>
        <v>15.485762144053602</v>
      </c>
      <c r="Y32" s="496">
        <f t="shared" si="4"/>
        <v>0.11557788944723618</v>
      </c>
    </row>
    <row r="33" spans="1:25" hidden="1" outlineLevel="1">
      <c r="A33" s="818"/>
      <c r="B33" s="815" t="s">
        <v>227</v>
      </c>
      <c r="C33" s="403"/>
      <c r="D33" s="403"/>
      <c r="E33" s="403"/>
      <c r="F33" s="403"/>
      <c r="G33" s="403"/>
      <c r="H33" s="403"/>
      <c r="I33" s="403"/>
      <c r="J33" s="403"/>
      <c r="K33" s="403"/>
      <c r="L33" s="403"/>
      <c r="M33" s="403"/>
      <c r="N33" s="403"/>
      <c r="O33" s="403"/>
      <c r="P33" s="403" t="s">
        <v>235</v>
      </c>
      <c r="Q33" s="404">
        <v>13.017576153028287</v>
      </c>
      <c r="R33" s="404">
        <v>0.73100859606638335</v>
      </c>
      <c r="S33" s="404">
        <v>0.10871409890218008</v>
      </c>
      <c r="T33" s="826"/>
      <c r="U33" s="404">
        <f t="shared" si="8"/>
        <v>11.927191407593874</v>
      </c>
      <c r="V33" s="404">
        <f t="shared" si="9"/>
        <v>0.66977748725149189</v>
      </c>
      <c r="W33" s="404">
        <f t="shared" si="10"/>
        <v>9.9607934001503917E-2</v>
      </c>
      <c r="X33" s="497">
        <f t="shared" si="3"/>
        <v>17.807692307692307</v>
      </c>
      <c r="Y33" s="497">
        <f t="shared" si="4"/>
        <v>0.14871794871794872</v>
      </c>
    </row>
    <row r="34" spans="1:25" hidden="1" outlineLevel="1">
      <c r="A34" s="818"/>
      <c r="B34" s="816"/>
      <c r="C34" s="401"/>
      <c r="D34" s="401"/>
      <c r="E34" s="401"/>
      <c r="F34" s="401"/>
      <c r="G34" s="401"/>
      <c r="H34" s="401"/>
      <c r="I34" s="401"/>
      <c r="J34" s="401"/>
      <c r="K34" s="401"/>
      <c r="L34" s="401"/>
      <c r="M34" s="401"/>
      <c r="N34" s="401"/>
      <c r="O34" s="401"/>
      <c r="P34" s="401" t="s">
        <v>236</v>
      </c>
      <c r="Q34" s="402">
        <v>31.560827539912211</v>
      </c>
      <c r="R34" s="402">
        <v>2.0393265449236542</v>
      </c>
      <c r="S34" s="402">
        <v>0.23617200795990845</v>
      </c>
      <c r="T34" s="827"/>
      <c r="U34" s="402">
        <f t="shared" si="8"/>
        <v>28.91721366754005</v>
      </c>
      <c r="V34" s="402">
        <f t="shared" si="9"/>
        <v>1.8685074516144184</v>
      </c>
      <c r="W34" s="402">
        <f t="shared" si="10"/>
        <v>0.21638964972740507</v>
      </c>
      <c r="X34" s="498">
        <f t="shared" si="3"/>
        <v>15.476102941176469</v>
      </c>
      <c r="Y34" s="498">
        <f t="shared" si="4"/>
        <v>0.11580882352941176</v>
      </c>
    </row>
    <row r="35" spans="1:25" hidden="1" outlineLevel="1">
      <c r="A35" s="818" t="s">
        <v>192</v>
      </c>
      <c r="B35" s="816" t="s">
        <v>226</v>
      </c>
      <c r="C35" s="399"/>
      <c r="D35" s="399"/>
      <c r="E35" s="399"/>
      <c r="F35" s="399"/>
      <c r="G35" s="399"/>
      <c r="H35" s="399"/>
      <c r="I35" s="399"/>
      <c r="J35" s="399"/>
      <c r="K35" s="399"/>
      <c r="L35" s="399"/>
      <c r="M35" s="399"/>
      <c r="N35" s="399"/>
      <c r="O35" s="399"/>
      <c r="P35" s="399" t="s">
        <v>235</v>
      </c>
      <c r="Q35" s="400">
        <v>1.6733108120910969</v>
      </c>
      <c r="R35" s="400">
        <v>9.391253967676233E-2</v>
      </c>
      <c r="S35" s="400">
        <v>1.4042996587179413E-2</v>
      </c>
      <c r="T35" s="825">
        <f>'Hałas-zagreg.śred.PL'!R24</f>
        <v>0.1322017607112283</v>
      </c>
      <c r="U35" s="400">
        <f>IFERROR(Q35*(100%+$T$35),"brak")</f>
        <v>1.8945254476666751</v>
      </c>
      <c r="V35" s="400">
        <f>IFERROR(R35*(100%+$T$35),"brak")</f>
        <v>0.10632794277489339</v>
      </c>
      <c r="W35" s="400">
        <f>IFERROR(S35*(100%+$T$35),"brak")</f>
        <v>1.58995054616663E-2</v>
      </c>
      <c r="X35" s="495">
        <f t="shared" si="3"/>
        <v>17.817757009345794</v>
      </c>
      <c r="Y35" s="495">
        <f t="shared" si="4"/>
        <v>0.14953271028037382</v>
      </c>
    </row>
    <row r="36" spans="1:25" hidden="1" outlineLevel="1">
      <c r="A36" s="818"/>
      <c r="B36" s="817"/>
      <c r="C36" s="405"/>
      <c r="D36" s="405"/>
      <c r="E36" s="405"/>
      <c r="F36" s="405"/>
      <c r="G36" s="405"/>
      <c r="H36" s="405"/>
      <c r="I36" s="405"/>
      <c r="J36" s="405"/>
      <c r="K36" s="405"/>
      <c r="L36" s="405"/>
      <c r="M36" s="405"/>
      <c r="N36" s="405"/>
      <c r="O36" s="405"/>
      <c r="P36" s="405" t="s">
        <v>236</v>
      </c>
      <c r="Q36" s="406">
        <v>4.0571094827648029</v>
      </c>
      <c r="R36" s="406">
        <v>0.2619896550795659</v>
      </c>
      <c r="S36" s="406">
        <v>3.0280211391105608E-2</v>
      </c>
      <c r="T36" s="826"/>
      <c r="U36" s="406">
        <f t="shared" ref="U36:U38" si="11">IFERROR(Q36*(100%+$T$35),"brak")</f>
        <v>4.5934664997845305</v>
      </c>
      <c r="V36" s="406">
        <f t="shared" ref="V36:V38" si="12">IFERROR(R36*(100%+$T$35),"brak")</f>
        <v>0.29662514876921187</v>
      </c>
      <c r="W36" s="406">
        <f t="shared" ref="W36:W38" si="13">IFERROR(S36*(100%+$T$35),"brak")</f>
        <v>3.4283308651717956E-2</v>
      </c>
      <c r="X36" s="496">
        <f t="shared" si="3"/>
        <v>15.485762144053608</v>
      </c>
      <c r="Y36" s="496">
        <f t="shared" si="4"/>
        <v>0.11557788944723618</v>
      </c>
    </row>
    <row r="37" spans="1:25" hidden="1" outlineLevel="1">
      <c r="A37" s="818"/>
      <c r="B37" s="815" t="s">
        <v>227</v>
      </c>
      <c r="C37" s="403"/>
      <c r="D37" s="403"/>
      <c r="E37" s="403"/>
      <c r="F37" s="403"/>
      <c r="G37" s="403"/>
      <c r="H37" s="403"/>
      <c r="I37" s="403"/>
      <c r="J37" s="403"/>
      <c r="K37" s="403"/>
      <c r="L37" s="403"/>
      <c r="M37" s="403"/>
      <c r="N37" s="403"/>
      <c r="O37" s="403"/>
      <c r="P37" s="403" t="s">
        <v>235</v>
      </c>
      <c r="Q37" s="404">
        <v>3.0477691030612823</v>
      </c>
      <c r="R37" s="404">
        <v>0.17114902090624909</v>
      </c>
      <c r="S37" s="404">
        <v>2.5452931314262683E-2</v>
      </c>
      <c r="T37" s="826"/>
      <c r="U37" s="404">
        <f t="shared" si="11"/>
        <v>3.4506895447272647</v>
      </c>
      <c r="V37" s="404">
        <f t="shared" si="12"/>
        <v>0.19377522281405804</v>
      </c>
      <c r="W37" s="404">
        <f t="shared" si="13"/>
        <v>2.8817853649270166E-2</v>
      </c>
      <c r="X37" s="497">
        <f t="shared" si="3"/>
        <v>17.80769230769231</v>
      </c>
      <c r="Y37" s="497">
        <f t="shared" si="4"/>
        <v>0.14871794871794869</v>
      </c>
    </row>
    <row r="38" spans="1:25" hidden="1" outlineLevel="1">
      <c r="A38" s="818"/>
      <c r="B38" s="816"/>
      <c r="C38" s="401"/>
      <c r="D38" s="401"/>
      <c r="E38" s="401"/>
      <c r="F38" s="401"/>
      <c r="G38" s="401"/>
      <c r="H38" s="401"/>
      <c r="I38" s="401"/>
      <c r="J38" s="401"/>
      <c r="K38" s="401"/>
      <c r="L38" s="401"/>
      <c r="M38" s="401"/>
      <c r="N38" s="401"/>
      <c r="O38" s="401"/>
      <c r="P38" s="401" t="s">
        <v>236</v>
      </c>
      <c r="Q38" s="402">
        <v>7.3892492667164671</v>
      </c>
      <c r="R38" s="402">
        <v>0.47746188396410005</v>
      </c>
      <c r="S38" s="402">
        <v>5.5294299062018937E-2</v>
      </c>
      <c r="T38" s="827"/>
      <c r="U38" s="402">
        <f t="shared" si="11"/>
        <v>8.366121030110536</v>
      </c>
      <c r="V38" s="402">
        <f t="shared" si="12"/>
        <v>0.5405831856966542</v>
      </c>
      <c r="W38" s="402">
        <f t="shared" si="13"/>
        <v>6.260430275531105E-2</v>
      </c>
      <c r="X38" s="498">
        <f t="shared" si="3"/>
        <v>15.476102941176471</v>
      </c>
      <c r="Y38" s="498">
        <f t="shared" si="4"/>
        <v>0.11580882352941176</v>
      </c>
    </row>
    <row r="39" spans="1:25" ht="15" hidden="1" customHeight="1" outlineLevel="1">
      <c r="A39" s="818" t="s">
        <v>735</v>
      </c>
      <c r="B39" s="816" t="s">
        <v>226</v>
      </c>
      <c r="C39" s="399"/>
      <c r="D39" s="399"/>
      <c r="E39" s="399"/>
      <c r="F39" s="399"/>
      <c r="G39" s="399"/>
      <c r="H39" s="399"/>
      <c r="I39" s="399"/>
      <c r="J39" s="399"/>
      <c r="K39" s="399"/>
      <c r="L39" s="399"/>
      <c r="M39" s="399"/>
      <c r="N39" s="399"/>
      <c r="O39" s="399"/>
      <c r="P39" s="399" t="s">
        <v>235</v>
      </c>
      <c r="Q39" s="400">
        <v>8.1493335953638528</v>
      </c>
      <c r="R39" s="400">
        <v>0.45956897652543693</v>
      </c>
      <c r="S39" s="400">
        <v>6.9469729009659073E-2</v>
      </c>
      <c r="T39" s="825">
        <f>'Hałas-zagreg.śred.PL'!R25</f>
        <v>-0.26839739185773975</v>
      </c>
      <c r="U39" s="400">
        <f>IFERROR(Q39*(100%+$T$39),"brak")</f>
        <v>5.9620737129895369</v>
      </c>
      <c r="V39" s="400">
        <f>IFERROR(R39*(100%+$T$39),"brak")</f>
        <v>0.33622186184727881</v>
      </c>
      <c r="W39" s="400">
        <f>IFERROR(S39*(100%+$T$39),"brak")</f>
        <v>5.0824234930402612E-2</v>
      </c>
      <c r="X39" s="495">
        <f t="shared" si="3"/>
        <v>17.732558139534884</v>
      </c>
      <c r="Y39" s="495">
        <f t="shared" si="4"/>
        <v>0.15116279069767441</v>
      </c>
    </row>
    <row r="40" spans="1:25" hidden="1" outlineLevel="1">
      <c r="A40" s="818"/>
      <c r="B40" s="817"/>
      <c r="C40" s="405"/>
      <c r="D40" s="405"/>
      <c r="E40" s="405"/>
      <c r="F40" s="405"/>
      <c r="G40" s="405"/>
      <c r="H40" s="405"/>
      <c r="I40" s="405"/>
      <c r="J40" s="405"/>
      <c r="K40" s="405"/>
      <c r="L40" s="405"/>
      <c r="M40" s="405"/>
      <c r="N40" s="405"/>
      <c r="O40" s="405"/>
      <c r="P40" s="405" t="s">
        <v>236</v>
      </c>
      <c r="Q40" s="406">
        <v>19.761465990593788</v>
      </c>
      <c r="R40" s="406">
        <v>1.2771742487160402</v>
      </c>
      <c r="S40" s="406">
        <v>0.1496271086361888</v>
      </c>
      <c r="T40" s="826"/>
      <c r="U40" s="406">
        <f t="shared" ref="U40:U42" si="14">IFERROR(Q40*(100%+$T$39),"brak")</f>
        <v>14.457540059432988</v>
      </c>
      <c r="V40" s="406">
        <f t="shared" ref="V40:V42" si="15">IFERROR(R40*(100%+$T$39),"brak")</f>
        <v>0.93438401141278671</v>
      </c>
      <c r="W40" s="406">
        <f t="shared" ref="W40:W42" si="16">IFERROR(S40*(100%+$T$39),"brak")</f>
        <v>0.10946758292702104</v>
      </c>
      <c r="X40" s="496">
        <f t="shared" si="3"/>
        <v>15.47280334728033</v>
      </c>
      <c r="Y40" s="496">
        <f t="shared" si="4"/>
        <v>0.11715481171548117</v>
      </c>
    </row>
    <row r="41" spans="1:25" hidden="1" outlineLevel="1">
      <c r="A41" s="818"/>
      <c r="B41" s="815" t="s">
        <v>227</v>
      </c>
      <c r="C41" s="403"/>
      <c r="D41" s="403"/>
      <c r="E41" s="403"/>
      <c r="F41" s="403"/>
      <c r="G41" s="403"/>
      <c r="H41" s="403"/>
      <c r="I41" s="403"/>
      <c r="J41" s="403"/>
      <c r="K41" s="403"/>
      <c r="L41" s="403"/>
      <c r="M41" s="403"/>
      <c r="N41" s="403"/>
      <c r="O41" s="403"/>
      <c r="P41" s="403" t="s">
        <v>235</v>
      </c>
      <c r="Q41" s="404">
        <v>14.845146706833301</v>
      </c>
      <c r="R41" s="404">
        <v>0.83363674811590893</v>
      </c>
      <c r="S41" s="404">
        <v>0.12290798209401221</v>
      </c>
      <c r="T41" s="826"/>
      <c r="U41" s="404">
        <f t="shared" si="14"/>
        <v>10.860748048973727</v>
      </c>
      <c r="V41" s="404">
        <f t="shared" si="15"/>
        <v>0.60989081916483134</v>
      </c>
      <c r="W41" s="404">
        <f t="shared" si="16"/>
        <v>8.9919800261481553E-2</v>
      </c>
      <c r="X41" s="497">
        <f t="shared" si="3"/>
        <v>17.807692307692307</v>
      </c>
      <c r="Y41" s="497">
        <f t="shared" si="4"/>
        <v>0.14743589743589744</v>
      </c>
    </row>
    <row r="42" spans="1:25" hidden="1" outlineLevel="1">
      <c r="A42" s="818"/>
      <c r="B42" s="816"/>
      <c r="C42" s="401"/>
      <c r="D42" s="401"/>
      <c r="E42" s="401"/>
      <c r="F42" s="401"/>
      <c r="G42" s="401"/>
      <c r="H42" s="401"/>
      <c r="I42" s="401"/>
      <c r="J42" s="401"/>
      <c r="K42" s="401"/>
      <c r="L42" s="401"/>
      <c r="M42" s="401"/>
      <c r="N42" s="401"/>
      <c r="O42" s="401"/>
      <c r="P42" s="401" t="s">
        <v>236</v>
      </c>
      <c r="Q42" s="402">
        <v>35.990663452311836</v>
      </c>
      <c r="R42" s="402">
        <v>2.3245640091693613</v>
      </c>
      <c r="S42" s="402">
        <v>0.26719126542176569</v>
      </c>
      <c r="T42" s="827"/>
      <c r="U42" s="402">
        <f t="shared" si="14"/>
        <v>26.330863250481663</v>
      </c>
      <c r="V42" s="402">
        <f t="shared" si="15"/>
        <v>1.7006570919019337</v>
      </c>
      <c r="W42" s="402">
        <f t="shared" si="16"/>
        <v>0.19547782665539468</v>
      </c>
      <c r="X42" s="498">
        <f t="shared" si="3"/>
        <v>15.482758620689655</v>
      </c>
      <c r="Y42" s="498">
        <f t="shared" si="4"/>
        <v>0.11494252873563218</v>
      </c>
    </row>
    <row r="43" spans="1:25" s="369" customFormat="1" hidden="1" outlineLevel="1">
      <c r="A43" s="399"/>
      <c r="B43" s="399"/>
      <c r="C43" s="399"/>
      <c r="D43" s="399"/>
      <c r="E43" s="399"/>
      <c r="F43" s="399"/>
      <c r="G43" s="399"/>
      <c r="H43" s="399"/>
      <c r="I43" s="399"/>
      <c r="J43" s="399"/>
      <c r="K43" s="399"/>
      <c r="L43" s="399"/>
      <c r="M43" s="399"/>
      <c r="N43" s="399"/>
      <c r="O43" s="399"/>
      <c r="P43" s="415"/>
      <c r="Q43" s="415"/>
      <c r="R43" s="415"/>
      <c r="S43" s="415"/>
      <c r="T43" s="416"/>
      <c r="U43" s="417"/>
      <c r="V43" s="415"/>
      <c r="W43" s="415"/>
      <c r="X43" s="493"/>
      <c r="Y43" s="493"/>
    </row>
    <row r="44" spans="1:25" s="369" customFormat="1" hidden="1" outlineLevel="1">
      <c r="A44" s="407" t="s">
        <v>243</v>
      </c>
      <c r="B44" s="407"/>
      <c r="C44" s="407"/>
      <c r="D44" s="407"/>
      <c r="E44" s="407"/>
      <c r="F44" s="407"/>
      <c r="G44" s="407"/>
      <c r="H44" s="407"/>
      <c r="I44" s="407"/>
      <c r="J44" s="407"/>
      <c r="K44" s="407"/>
      <c r="L44" s="407"/>
      <c r="M44" s="407"/>
      <c r="N44" s="407"/>
      <c r="O44" s="407"/>
      <c r="P44" s="418"/>
      <c r="Q44" s="418"/>
      <c r="R44" s="418"/>
      <c r="S44" s="418"/>
      <c r="T44" s="419"/>
      <c r="U44" s="420"/>
      <c r="V44" s="418"/>
      <c r="W44" s="418"/>
      <c r="X44" s="494"/>
      <c r="Y44" s="494"/>
    </row>
    <row r="45" spans="1:25" ht="15" hidden="1" customHeight="1" outlineLevel="1">
      <c r="A45" s="822" t="s">
        <v>228</v>
      </c>
      <c r="B45" s="819" t="s">
        <v>226</v>
      </c>
      <c r="C45" s="399"/>
      <c r="D45" s="399"/>
      <c r="E45" s="399"/>
      <c r="F45" s="399"/>
      <c r="G45" s="399"/>
      <c r="H45" s="399"/>
      <c r="I45" s="399"/>
      <c r="J45" s="399"/>
      <c r="K45" s="399"/>
      <c r="L45" s="399"/>
      <c r="M45" s="399"/>
      <c r="N45" s="399"/>
      <c r="O45" s="399"/>
      <c r="P45" s="399" t="s">
        <v>235</v>
      </c>
      <c r="Q45" s="400">
        <v>38.048844232624646</v>
      </c>
      <c r="R45" s="400">
        <v>21.167478597867525</v>
      </c>
      <c r="S45" s="400">
        <v>3.0524262257056853</v>
      </c>
      <c r="T45" s="825" t="s">
        <v>222</v>
      </c>
      <c r="U45" s="400" t="str">
        <f>IFERROR(Q45*(100%+$T$45),"brak")</f>
        <v>brak</v>
      </c>
      <c r="V45" s="400" t="str">
        <f>IFERROR(R45*(100%+$T$45),"brak")</f>
        <v>brak</v>
      </c>
      <c r="W45" s="400" t="str">
        <f>IFERROR(S45*(100%+$T$45),"brak")</f>
        <v>brak</v>
      </c>
      <c r="X45" s="495" t="str">
        <f t="shared" ref="X45:X56" si="17">IFERROR(U45/V45,"brak")</f>
        <v>brak</v>
      </c>
      <c r="Y45" s="495" t="str">
        <f t="shared" ref="Y45:Y56" si="18">IFERROR(W45/V45,"brak")</f>
        <v>brak</v>
      </c>
    </row>
    <row r="46" spans="1:25" hidden="1" outlineLevel="1">
      <c r="A46" s="823"/>
      <c r="B46" s="820"/>
      <c r="C46" s="405"/>
      <c r="D46" s="405"/>
      <c r="E46" s="405"/>
      <c r="F46" s="405"/>
      <c r="G46" s="405"/>
      <c r="H46" s="405"/>
      <c r="I46" s="405"/>
      <c r="J46" s="405"/>
      <c r="K46" s="405"/>
      <c r="L46" s="405"/>
      <c r="M46" s="405"/>
      <c r="N46" s="405"/>
      <c r="O46" s="405"/>
      <c r="P46" s="405" t="s">
        <v>236</v>
      </c>
      <c r="Q46" s="406">
        <v>62.398670089318465</v>
      </c>
      <c r="R46" s="406">
        <v>34.713866880574457</v>
      </c>
      <c r="S46" s="406">
        <v>5.0275255482211278</v>
      </c>
      <c r="T46" s="826"/>
      <c r="U46" s="406" t="str">
        <f t="shared" ref="U46:U48" si="19">IFERROR(Q46*(100%+$T$45),"brak")</f>
        <v>brak</v>
      </c>
      <c r="V46" s="406" t="str">
        <f t="shared" ref="V46:V48" si="20">IFERROR(R46*(100%+$T$45),"brak")</f>
        <v>brak</v>
      </c>
      <c r="W46" s="406" t="str">
        <f t="shared" ref="W46:W48" si="21">IFERROR(S46*(100%+$T$45),"brak")</f>
        <v>brak</v>
      </c>
      <c r="X46" s="496" t="str">
        <f t="shared" si="17"/>
        <v>brak</v>
      </c>
      <c r="Y46" s="496" t="str">
        <f t="shared" si="18"/>
        <v>brak</v>
      </c>
    </row>
    <row r="47" spans="1:25" hidden="1" outlineLevel="1">
      <c r="A47" s="823"/>
      <c r="B47" s="821" t="s">
        <v>227</v>
      </c>
      <c r="C47" s="403"/>
      <c r="D47" s="403"/>
      <c r="E47" s="403"/>
      <c r="F47" s="403"/>
      <c r="G47" s="403"/>
      <c r="H47" s="403"/>
      <c r="I47" s="403"/>
      <c r="J47" s="403"/>
      <c r="K47" s="403"/>
      <c r="L47" s="403"/>
      <c r="M47" s="403"/>
      <c r="N47" s="403"/>
      <c r="O47" s="403"/>
      <c r="P47" s="403" t="s">
        <v>235</v>
      </c>
      <c r="Q47" s="404">
        <v>69.248179277283867</v>
      </c>
      <c r="R47" s="404">
        <v>38.52441203815475</v>
      </c>
      <c r="S47" s="404">
        <v>5.5462385016090225</v>
      </c>
      <c r="T47" s="826"/>
      <c r="U47" s="404" t="str">
        <f t="shared" si="19"/>
        <v>brak</v>
      </c>
      <c r="V47" s="404" t="str">
        <f t="shared" si="20"/>
        <v>brak</v>
      </c>
      <c r="W47" s="404" t="str">
        <f t="shared" si="21"/>
        <v>brak</v>
      </c>
      <c r="X47" s="497" t="str">
        <f t="shared" si="17"/>
        <v>brak</v>
      </c>
      <c r="Y47" s="497" t="str">
        <f t="shared" si="18"/>
        <v>brak</v>
      </c>
    </row>
    <row r="48" spans="1:25" hidden="1" outlineLevel="1">
      <c r="A48" s="824"/>
      <c r="B48" s="815"/>
      <c r="C48" s="401"/>
      <c r="D48" s="401"/>
      <c r="E48" s="401"/>
      <c r="F48" s="401"/>
      <c r="G48" s="401"/>
      <c r="H48" s="401"/>
      <c r="I48" s="401"/>
      <c r="J48" s="401"/>
      <c r="K48" s="401"/>
      <c r="L48" s="401"/>
      <c r="M48" s="401"/>
      <c r="N48" s="401"/>
      <c r="O48" s="401"/>
      <c r="P48" s="401" t="s">
        <v>236</v>
      </c>
      <c r="Q48" s="402">
        <v>113.63803778836328</v>
      </c>
      <c r="R48" s="402">
        <v>63.223128818701404</v>
      </c>
      <c r="S48" s="402">
        <v>9.1572786771170556</v>
      </c>
      <c r="T48" s="827"/>
      <c r="U48" s="402" t="str">
        <f t="shared" si="19"/>
        <v>brak</v>
      </c>
      <c r="V48" s="402" t="str">
        <f t="shared" si="20"/>
        <v>brak</v>
      </c>
      <c r="W48" s="402" t="str">
        <f t="shared" si="21"/>
        <v>brak</v>
      </c>
      <c r="X48" s="498" t="str">
        <f t="shared" si="17"/>
        <v>brak</v>
      </c>
      <c r="Y48" s="498" t="str">
        <f t="shared" si="18"/>
        <v>brak</v>
      </c>
    </row>
    <row r="49" spans="1:25" ht="15" hidden="1" customHeight="1" outlineLevel="1">
      <c r="A49" s="822" t="s">
        <v>229</v>
      </c>
      <c r="B49" s="819" t="s">
        <v>226</v>
      </c>
      <c r="C49" s="399"/>
      <c r="D49" s="399"/>
      <c r="E49" s="399"/>
      <c r="F49" s="399"/>
      <c r="G49" s="399"/>
      <c r="H49" s="399"/>
      <c r="I49" s="399"/>
      <c r="J49" s="399"/>
      <c r="K49" s="399"/>
      <c r="L49" s="399"/>
      <c r="M49" s="399"/>
      <c r="N49" s="399"/>
      <c r="O49" s="399"/>
      <c r="P49" s="399" t="s">
        <v>235</v>
      </c>
      <c r="Q49" s="400">
        <v>59.672812287759726</v>
      </c>
      <c r="R49" s="400">
        <v>26.318576598531578</v>
      </c>
      <c r="S49" s="400">
        <v>3.7784095116703749</v>
      </c>
      <c r="T49" s="828">
        <f>AVERAGE('Hałas-zagreg.śred.PL'!R28:R29)</f>
        <v>-0.59334252988789782</v>
      </c>
      <c r="U49" s="400">
        <f>IFERROR(Q49*(100%+$T$49),"brak")</f>
        <v>24.266394879414733</v>
      </c>
      <c r="V49" s="400">
        <f>IFERROR(R49*(100%+$T$49),"brak")</f>
        <v>10.702645776510428</v>
      </c>
      <c r="W49" s="400">
        <f>IFERROR(S49*(100%+$T$49),"brak")</f>
        <v>1.536518453063378</v>
      </c>
      <c r="X49" s="495">
        <f t="shared" si="17"/>
        <v>2.2673267326732676</v>
      </c>
      <c r="Y49" s="495">
        <f t="shared" si="18"/>
        <v>0.14356435643564353</v>
      </c>
    </row>
    <row r="50" spans="1:25" hidden="1" outlineLevel="1">
      <c r="A50" s="823"/>
      <c r="B50" s="820"/>
      <c r="C50" s="405"/>
      <c r="D50" s="405"/>
      <c r="E50" s="405"/>
      <c r="F50" s="405"/>
      <c r="G50" s="405"/>
      <c r="H50" s="405"/>
      <c r="I50" s="405"/>
      <c r="J50" s="405"/>
      <c r="K50" s="405"/>
      <c r="L50" s="405"/>
      <c r="M50" s="405"/>
      <c r="N50" s="405"/>
      <c r="O50" s="405"/>
      <c r="P50" s="405" t="s">
        <v>236</v>
      </c>
      <c r="Q50" s="406">
        <v>97.928402343526471</v>
      </c>
      <c r="R50" s="406">
        <v>43.191129417887218</v>
      </c>
      <c r="S50" s="406">
        <v>6.2539191917302768</v>
      </c>
      <c r="T50" s="829"/>
      <c r="U50" s="406">
        <f t="shared" ref="U50:U52" si="22">IFERROR(Q50*(100%+$T$49),"brak")</f>
        <v>39.82331634913853</v>
      </c>
      <c r="V50" s="406">
        <f t="shared" ref="V50:V52" si="23">IFERROR(R50*(100%+$T$49),"brak")</f>
        <v>17.56399542036241</v>
      </c>
      <c r="W50" s="406">
        <f t="shared" ref="W50:W52" si="24">IFERROR(S50*(100%+$T$49),"brak")</f>
        <v>2.5432029567945573</v>
      </c>
      <c r="X50" s="496">
        <f t="shared" si="17"/>
        <v>2.2673267326732671</v>
      </c>
      <c r="Y50" s="496">
        <f t="shared" si="18"/>
        <v>0.14479638009049775</v>
      </c>
    </row>
    <row r="51" spans="1:25" hidden="1" outlineLevel="1">
      <c r="A51" s="823"/>
      <c r="B51" s="821" t="s">
        <v>227</v>
      </c>
      <c r="C51" s="403"/>
      <c r="D51" s="403"/>
      <c r="E51" s="403"/>
      <c r="F51" s="403"/>
      <c r="G51" s="403"/>
      <c r="H51" s="403"/>
      <c r="I51" s="403"/>
      <c r="J51" s="403"/>
      <c r="K51" s="403"/>
      <c r="L51" s="403"/>
      <c r="M51" s="403"/>
      <c r="N51" s="403"/>
      <c r="O51" s="403"/>
      <c r="P51" s="403" t="s">
        <v>235</v>
      </c>
      <c r="Q51" s="404">
        <v>108.66184595631354</v>
      </c>
      <c r="R51" s="404">
        <v>47.92499880607194</v>
      </c>
      <c r="S51" s="404">
        <v>6.9053691075355141</v>
      </c>
      <c r="T51" s="829"/>
      <c r="U51" s="404">
        <f t="shared" si="22"/>
        <v>44.188151374305427</v>
      </c>
      <c r="V51" s="404">
        <f t="shared" si="23"/>
        <v>19.489058769602732</v>
      </c>
      <c r="W51" s="404">
        <f t="shared" si="24"/>
        <v>2.8081199314606571</v>
      </c>
      <c r="X51" s="497">
        <f t="shared" si="17"/>
        <v>2.2673312188491166</v>
      </c>
      <c r="Y51" s="497">
        <f t="shared" si="18"/>
        <v>0.1440869959220662</v>
      </c>
    </row>
    <row r="52" spans="1:25" hidden="1" outlineLevel="1">
      <c r="A52" s="824"/>
      <c r="B52" s="815"/>
      <c r="C52" s="401"/>
      <c r="D52" s="401"/>
      <c r="E52" s="401"/>
      <c r="F52" s="401"/>
      <c r="G52" s="401"/>
      <c r="H52" s="401"/>
      <c r="I52" s="401"/>
      <c r="J52" s="401"/>
      <c r="K52" s="401"/>
      <c r="L52" s="401"/>
      <c r="M52" s="401"/>
      <c r="N52" s="401"/>
      <c r="O52" s="401"/>
      <c r="P52" s="401" t="s">
        <v>236</v>
      </c>
      <c r="Q52" s="402">
        <v>178.32355695308689</v>
      </c>
      <c r="R52" s="402">
        <v>78.651719834885625</v>
      </c>
      <c r="S52" s="402">
        <v>11.378658529398141</v>
      </c>
      <c r="T52" s="830"/>
      <c r="U52" s="402">
        <f t="shared" si="22"/>
        <v>72.516606531933689</v>
      </c>
      <c r="V52" s="402">
        <f t="shared" si="23"/>
        <v>31.984309408020437</v>
      </c>
      <c r="W52" s="402">
        <f t="shared" si="24"/>
        <v>4.6272164908345408</v>
      </c>
      <c r="X52" s="498">
        <f t="shared" si="17"/>
        <v>2.2672556598564331</v>
      </c>
      <c r="Y52" s="498">
        <f t="shared" si="18"/>
        <v>0.14467145223633349</v>
      </c>
    </row>
    <row r="53" spans="1:25" hidden="1" outlineLevel="1">
      <c r="A53" s="822" t="s">
        <v>230</v>
      </c>
      <c r="B53" s="819" t="s">
        <v>226</v>
      </c>
      <c r="C53" s="399"/>
      <c r="D53" s="399"/>
      <c r="E53" s="399"/>
      <c r="F53" s="399"/>
      <c r="G53" s="399"/>
      <c r="H53" s="399"/>
      <c r="I53" s="399"/>
      <c r="J53" s="399"/>
      <c r="K53" s="399"/>
      <c r="L53" s="399"/>
      <c r="M53" s="399"/>
      <c r="N53" s="399"/>
      <c r="O53" s="399"/>
      <c r="P53" s="399" t="s">
        <v>235</v>
      </c>
      <c r="Q53" s="400">
        <v>67.723931158060296</v>
      </c>
      <c r="R53" s="400">
        <v>26.816576771734269</v>
      </c>
      <c r="S53" s="400">
        <v>3.8639390180102624</v>
      </c>
      <c r="T53" s="828">
        <f>AVERAGE('Hałas-zagreg.śred.PL'!R30:R31)</f>
        <v>-0.42335022510131182</v>
      </c>
      <c r="U53" s="400">
        <f>IFERROR(Q53*(100%+$T$53),"brak")</f>
        <v>39.052989657549723</v>
      </c>
      <c r="V53" s="400">
        <f>IFERROR(R53*(100%+$T$53),"brak")</f>
        <v>15.463772958973957</v>
      </c>
      <c r="W53" s="400">
        <f>IFERROR(S53*(100%+$T$53),"brak")</f>
        <v>2.2281395649578761</v>
      </c>
      <c r="X53" s="495">
        <f t="shared" si="17"/>
        <v>2.5254502740798741</v>
      </c>
      <c r="Y53" s="495">
        <f t="shared" si="18"/>
        <v>0.14408770555990602</v>
      </c>
    </row>
    <row r="54" spans="1:25" hidden="1" outlineLevel="1">
      <c r="A54" s="823"/>
      <c r="B54" s="820"/>
      <c r="C54" s="405"/>
      <c r="D54" s="405"/>
      <c r="E54" s="405"/>
      <c r="F54" s="405"/>
      <c r="G54" s="405"/>
      <c r="H54" s="405"/>
      <c r="I54" s="405"/>
      <c r="J54" s="405"/>
      <c r="K54" s="405"/>
      <c r="L54" s="405"/>
      <c r="M54" s="405"/>
      <c r="N54" s="405"/>
      <c r="O54" s="405"/>
      <c r="P54" s="405" t="s">
        <v>236</v>
      </c>
      <c r="Q54" s="406">
        <v>89.206592111454313</v>
      </c>
      <c r="R54" s="406">
        <v>43.99430566701902</v>
      </c>
      <c r="S54" s="406">
        <v>6.3628995785712474</v>
      </c>
      <c r="T54" s="829"/>
      <c r="U54" s="406">
        <f t="shared" ref="U54:U56" si="25">IFERROR(Q54*(100%+$T$53),"brak")</f>
        <v>51.440961260549223</v>
      </c>
      <c r="V54" s="406">
        <f t="shared" ref="V54:V56" si="26">IFERROR(R54*(100%+$T$53),"brak")</f>
        <v>25.3693064597106</v>
      </c>
      <c r="W54" s="406">
        <f t="shared" ref="W54:W56" si="27">IFERROR(S54*(100%+$T$53),"brak")</f>
        <v>3.6691646096860677</v>
      </c>
      <c r="X54" s="496">
        <f t="shared" si="17"/>
        <v>2.0276849642004771</v>
      </c>
      <c r="Y54" s="496">
        <f t="shared" si="18"/>
        <v>0.14463007159904534</v>
      </c>
    </row>
    <row r="55" spans="1:25" hidden="1" outlineLevel="1">
      <c r="A55" s="823"/>
      <c r="B55" s="821" t="s">
        <v>227</v>
      </c>
      <c r="C55" s="403"/>
      <c r="D55" s="403"/>
      <c r="E55" s="403"/>
      <c r="F55" s="403"/>
      <c r="G55" s="403"/>
      <c r="H55" s="403"/>
      <c r="I55" s="403"/>
      <c r="J55" s="403"/>
      <c r="K55" s="403"/>
      <c r="L55" s="403"/>
      <c r="M55" s="403"/>
      <c r="N55" s="403"/>
      <c r="O55" s="403"/>
      <c r="P55" s="403" t="s">
        <v>235</v>
      </c>
      <c r="Q55" s="404">
        <v>123.35205321626239</v>
      </c>
      <c r="R55" s="404">
        <v>48.824229439531848</v>
      </c>
      <c r="S55" s="404">
        <v>7.0348889730078161</v>
      </c>
      <c r="T55" s="829"/>
      <c r="U55" s="404">
        <f t="shared" si="25"/>
        <v>71.130933720448709</v>
      </c>
      <c r="V55" s="404">
        <f t="shared" si="26"/>
        <v>28.154480915907946</v>
      </c>
      <c r="W55" s="404">
        <f t="shared" si="27"/>
        <v>4.0566671427222207</v>
      </c>
      <c r="X55" s="497">
        <f t="shared" si="17"/>
        <v>2.5264516129032253</v>
      </c>
      <c r="Y55" s="497">
        <f t="shared" si="18"/>
        <v>0.14408602150537636</v>
      </c>
    </row>
    <row r="56" spans="1:25" hidden="1" outlineLevel="1">
      <c r="A56" s="824"/>
      <c r="B56" s="815"/>
      <c r="C56" s="401"/>
      <c r="D56" s="401"/>
      <c r="E56" s="401"/>
      <c r="F56" s="401"/>
      <c r="G56" s="401"/>
      <c r="H56" s="401"/>
      <c r="I56" s="401"/>
      <c r="J56" s="401"/>
      <c r="K56" s="401"/>
      <c r="L56" s="401"/>
      <c r="M56" s="401"/>
      <c r="N56" s="401"/>
      <c r="O56" s="401"/>
      <c r="P56" s="401" t="s">
        <v>236</v>
      </c>
      <c r="Q56" s="402">
        <v>202.39480573686365</v>
      </c>
      <c r="R56" s="402">
        <v>80.113735617984531</v>
      </c>
      <c r="S56" s="402">
        <v>11.591817054030788</v>
      </c>
      <c r="T56" s="830"/>
      <c r="U56" s="402">
        <f t="shared" si="25"/>
        <v>116.71091916882615</v>
      </c>
      <c r="V56" s="402">
        <f t="shared" si="26"/>
        <v>46.197567610403794</v>
      </c>
      <c r="W56" s="402">
        <f t="shared" si="27"/>
        <v>6.6844186948736288</v>
      </c>
      <c r="X56" s="498">
        <f t="shared" si="17"/>
        <v>2.5263433813892529</v>
      </c>
      <c r="Y56" s="498">
        <f t="shared" si="18"/>
        <v>0.14469200524246395</v>
      </c>
    </row>
    <row r="57" spans="1:25" hidden="1" outlineLevel="1">
      <c r="A57" s="399"/>
      <c r="B57" s="399"/>
      <c r="C57" s="399"/>
      <c r="D57" s="399"/>
      <c r="E57" s="399"/>
      <c r="F57" s="399"/>
      <c r="G57" s="399"/>
      <c r="H57" s="399"/>
      <c r="I57" s="399"/>
      <c r="J57" s="399"/>
      <c r="K57" s="399"/>
      <c r="L57" s="399"/>
      <c r="M57" s="399"/>
      <c r="N57" s="399"/>
      <c r="O57" s="399"/>
      <c r="P57" s="415"/>
      <c r="Q57" s="415"/>
      <c r="R57" s="415"/>
      <c r="S57" s="415"/>
      <c r="T57" s="416"/>
      <c r="U57" s="417"/>
      <c r="V57" s="415"/>
      <c r="W57" s="415"/>
      <c r="X57" s="493"/>
      <c r="Y57" s="493"/>
    </row>
    <row r="58" spans="1:25" hidden="1" outlineLevel="1">
      <c r="A58" s="407" t="s">
        <v>239</v>
      </c>
      <c r="B58" s="407"/>
      <c r="C58" s="407"/>
      <c r="D58" s="407"/>
      <c r="E58" s="407"/>
      <c r="F58" s="407"/>
      <c r="G58" s="407"/>
      <c r="H58" s="407"/>
      <c r="I58" s="407"/>
      <c r="J58" s="407"/>
      <c r="K58" s="407"/>
      <c r="L58" s="407"/>
      <c r="M58" s="407"/>
      <c r="N58" s="407"/>
      <c r="O58" s="407"/>
      <c r="P58" s="418"/>
      <c r="Q58" s="418"/>
      <c r="R58" s="418"/>
      <c r="S58" s="418"/>
      <c r="T58" s="419"/>
      <c r="U58" s="420"/>
      <c r="V58" s="418"/>
      <c r="W58" s="418"/>
      <c r="X58" s="494"/>
      <c r="Y58" s="494"/>
    </row>
    <row r="59" spans="1:25" hidden="1" outlineLevel="1">
      <c r="A59" s="818" t="s">
        <v>807</v>
      </c>
      <c r="B59" s="816" t="s">
        <v>226</v>
      </c>
      <c r="C59" s="399"/>
      <c r="D59" s="399"/>
      <c r="E59" s="399"/>
      <c r="F59" s="399"/>
      <c r="G59" s="399"/>
      <c r="H59" s="399"/>
      <c r="I59" s="399"/>
      <c r="J59" s="399"/>
      <c r="K59" s="399"/>
      <c r="L59" s="399"/>
      <c r="M59" s="399"/>
      <c r="N59" s="399"/>
      <c r="O59" s="399"/>
      <c r="P59" s="399" t="s">
        <v>235</v>
      </c>
      <c r="Q59" s="400">
        <v>5.4816033540446876</v>
      </c>
      <c r="R59" s="400">
        <v>0.30783234342839327</v>
      </c>
      <c r="S59" s="400">
        <v>4.5315421113824368E-2</v>
      </c>
      <c r="T59" s="825">
        <f>'Hałas-zagreg.śred.PL'!R17</f>
        <v>0.28526802676521906</v>
      </c>
      <c r="U59" s="400">
        <f>IFERROR(Q59*(100%+$T$59),"brak")</f>
        <v>7.0453295263626217</v>
      </c>
      <c r="V59" s="400">
        <f>IFERROR(R59*(100%+$T$59),"brak")</f>
        <v>0.39564706861272425</v>
      </c>
      <c r="W59" s="400">
        <f>IFERROR(S59*(100%+$T$59),"brak")</f>
        <v>5.8242461876999989E-2</v>
      </c>
      <c r="X59" s="495">
        <f t="shared" ref="X59:X74" si="28">IFERROR(U59/V59,"brak")</f>
        <v>17.80710659898477</v>
      </c>
      <c r="Y59" s="495">
        <f t="shared" ref="Y59:Y74" si="29">IFERROR(W59/V59,"brak")</f>
        <v>0.14720812182741111</v>
      </c>
    </row>
    <row r="60" spans="1:25" hidden="1" outlineLevel="1">
      <c r="A60" s="818"/>
      <c r="B60" s="817"/>
      <c r="C60" s="405"/>
      <c r="D60" s="405"/>
      <c r="E60" s="405"/>
      <c r="F60" s="405"/>
      <c r="G60" s="405"/>
      <c r="H60" s="405"/>
      <c r="I60" s="405"/>
      <c r="J60" s="405"/>
      <c r="K60" s="405"/>
      <c r="L60" s="405"/>
      <c r="M60" s="405"/>
      <c r="N60" s="405"/>
      <c r="O60" s="405"/>
      <c r="P60" s="405" t="s">
        <v>236</v>
      </c>
      <c r="Q60" s="406">
        <v>13.290700492539079</v>
      </c>
      <c r="R60" s="406">
        <v>0.85864910007056894</v>
      </c>
      <c r="S60" s="406">
        <v>9.9225146231994771E-2</v>
      </c>
      <c r="T60" s="826"/>
      <c r="U60" s="406">
        <f t="shared" ref="U60:U62" si="30">IFERROR(Q60*(100%+$T$59),"brak")</f>
        <v>17.082112396373226</v>
      </c>
      <c r="V60" s="406">
        <f t="shared" ref="V60:V62" si="31">IFERROR(R60*(100%+$T$59),"brak")</f>
        <v>1.1035942345314311</v>
      </c>
      <c r="W60" s="406">
        <f t="shared" ref="W60:W62" si="32">IFERROR(S60*(100%+$T$59),"brak")</f>
        <v>0.12753090790308622</v>
      </c>
      <c r="X60" s="496">
        <f t="shared" si="28"/>
        <v>15.478616924476798</v>
      </c>
      <c r="Y60" s="496">
        <f t="shared" si="29"/>
        <v>0.11555959963603275</v>
      </c>
    </row>
    <row r="61" spans="1:25" hidden="1" outlineLevel="1">
      <c r="A61" s="818"/>
      <c r="B61" s="815" t="s">
        <v>227</v>
      </c>
      <c r="C61" s="403"/>
      <c r="D61" s="403"/>
      <c r="E61" s="403"/>
      <c r="F61" s="403"/>
      <c r="G61" s="403"/>
      <c r="H61" s="403"/>
      <c r="I61" s="403"/>
      <c r="J61" s="403"/>
      <c r="K61" s="403"/>
      <c r="L61" s="403"/>
      <c r="M61" s="403"/>
      <c r="N61" s="403"/>
      <c r="O61" s="403"/>
      <c r="P61" s="403" t="s">
        <v>235</v>
      </c>
      <c r="Q61" s="404">
        <v>9.9842373519579635</v>
      </c>
      <c r="R61" s="404">
        <v>0.5609736613745846</v>
      </c>
      <c r="S61" s="404">
        <v>8.2817838587334228E-2</v>
      </c>
      <c r="T61" s="826"/>
      <c r="U61" s="404">
        <f t="shared" si="30"/>
        <v>12.832421040106608</v>
      </c>
      <c r="V61" s="404">
        <f t="shared" si="31"/>
        <v>0.72100151082217245</v>
      </c>
      <c r="W61" s="404">
        <f t="shared" si="32"/>
        <v>0.10644311998210347</v>
      </c>
      <c r="X61" s="497">
        <f t="shared" si="28"/>
        <v>17.79805013927577</v>
      </c>
      <c r="Y61" s="497">
        <f t="shared" si="29"/>
        <v>0.1476323119777159</v>
      </c>
    </row>
    <row r="62" spans="1:25" hidden="1" outlineLevel="1">
      <c r="A62" s="818"/>
      <c r="B62" s="816"/>
      <c r="C62" s="401"/>
      <c r="D62" s="401"/>
      <c r="E62" s="401"/>
      <c r="F62" s="401"/>
      <c r="G62" s="401"/>
      <c r="H62" s="401"/>
      <c r="I62" s="401"/>
      <c r="J62" s="401"/>
      <c r="K62" s="401"/>
      <c r="L62" s="401"/>
      <c r="M62" s="401"/>
      <c r="N62" s="401"/>
      <c r="O62" s="401"/>
      <c r="P62" s="401" t="s">
        <v>236</v>
      </c>
      <c r="Q62" s="402">
        <v>24.206247878422534</v>
      </c>
      <c r="R62" s="402">
        <v>1.5633820284269413</v>
      </c>
      <c r="S62" s="402">
        <v>0.18048038409126607</v>
      </c>
      <c r="T62" s="827"/>
      <c r="U62" s="402">
        <f t="shared" si="30"/>
        <v>31.111516446089901</v>
      </c>
      <c r="V62" s="402">
        <f t="shared" si="31"/>
        <v>2.0093649347565004</v>
      </c>
      <c r="W62" s="402">
        <f t="shared" si="32"/>
        <v>0.23196566713081038</v>
      </c>
      <c r="X62" s="498">
        <f t="shared" si="28"/>
        <v>15.483258370814593</v>
      </c>
      <c r="Y62" s="498">
        <f t="shared" si="29"/>
        <v>0.11544227886056971</v>
      </c>
    </row>
    <row r="63" spans="1:25" hidden="1" outlineLevel="1">
      <c r="A63" s="818" t="s">
        <v>808</v>
      </c>
      <c r="B63" s="816" t="s">
        <v>226</v>
      </c>
      <c r="C63" s="399"/>
      <c r="D63" s="399"/>
      <c r="E63" s="399"/>
      <c r="F63" s="399"/>
      <c r="G63" s="399"/>
      <c r="H63" s="399"/>
      <c r="I63" s="399"/>
      <c r="J63" s="399"/>
      <c r="K63" s="399"/>
      <c r="L63" s="399"/>
      <c r="M63" s="399"/>
      <c r="N63" s="399"/>
      <c r="O63" s="399"/>
      <c r="P63" s="399" t="s">
        <v>235</v>
      </c>
      <c r="Q63" s="400">
        <v>7.8373462890593393</v>
      </c>
      <c r="R63" s="400">
        <v>0.44012463481889685</v>
      </c>
      <c r="S63" s="400">
        <v>6.478992086166499E-2</v>
      </c>
      <c r="T63" s="825">
        <f>'Hałas-zagreg.śred.PL'!R18</f>
        <v>0.22860089951685258</v>
      </c>
      <c r="U63" s="400">
        <f>IFERROR(Q63*(100%+$T$63),"brak")</f>
        <v>9.6289707005633716</v>
      </c>
      <c r="V63" s="400">
        <f>IFERROR(R63*(100%+$T$63),"brak")</f>
        <v>0.54073752223802296</v>
      </c>
      <c r="W63" s="400">
        <f>IFERROR(S63*(100%+$T$63),"brak")</f>
        <v>7.9600955050267305E-2</v>
      </c>
      <c r="X63" s="495">
        <f t="shared" si="28"/>
        <v>17.807106598984767</v>
      </c>
      <c r="Y63" s="495">
        <f t="shared" si="29"/>
        <v>0.14720812182741111</v>
      </c>
    </row>
    <row r="64" spans="1:25" hidden="1" outlineLevel="1">
      <c r="A64" s="818"/>
      <c r="B64" s="817"/>
      <c r="C64" s="405"/>
      <c r="D64" s="405"/>
      <c r="E64" s="405"/>
      <c r="F64" s="405"/>
      <c r="G64" s="405"/>
      <c r="H64" s="405"/>
      <c r="I64" s="405"/>
      <c r="J64" s="405"/>
      <c r="K64" s="405"/>
      <c r="L64" s="405"/>
      <c r="M64" s="405"/>
      <c r="N64" s="405"/>
      <c r="O64" s="405"/>
      <c r="P64" s="405" t="s">
        <v>236</v>
      </c>
      <c r="Q64" s="406">
        <v>19.002436961685927</v>
      </c>
      <c r="R64" s="406">
        <v>1.2276572935684456</v>
      </c>
      <c r="S64" s="406">
        <v>0.14186758533502511</v>
      </c>
      <c r="T64" s="826"/>
      <c r="U64" s="406">
        <f t="shared" ref="U64:U66" si="33">IFERROR(Q64*(100%+$T$63),"brak")</f>
        <v>23.346411144139619</v>
      </c>
      <c r="V64" s="406">
        <f t="shared" ref="V64:V66" si="34">IFERROR(R64*(100%+$T$63),"brak")</f>
        <v>1.5083008551766171</v>
      </c>
      <c r="W64" s="406">
        <f t="shared" ref="W64:W66" si="35">IFERROR(S64*(100%+$T$63),"brak")</f>
        <v>0.17429864295489572</v>
      </c>
      <c r="X64" s="496">
        <f t="shared" si="28"/>
        <v>15.478616924476803</v>
      </c>
      <c r="Y64" s="496">
        <f t="shared" si="29"/>
        <v>0.11555959963603278</v>
      </c>
    </row>
    <row r="65" spans="1:25" hidden="1" outlineLevel="1">
      <c r="A65" s="818"/>
      <c r="B65" s="815" t="s">
        <v>227</v>
      </c>
      <c r="C65" s="403"/>
      <c r="D65" s="403"/>
      <c r="E65" s="403"/>
      <c r="F65" s="403"/>
      <c r="G65" s="403"/>
      <c r="H65" s="403"/>
      <c r="I65" s="403"/>
      <c r="J65" s="403"/>
      <c r="K65" s="403"/>
      <c r="L65" s="403"/>
      <c r="M65" s="403"/>
      <c r="N65" s="403"/>
      <c r="O65" s="403"/>
      <c r="P65" s="403" t="s">
        <v>235</v>
      </c>
      <c r="Q65" s="404">
        <v>14.2750068739865</v>
      </c>
      <c r="R65" s="404">
        <v>0.8020545375633702</v>
      </c>
      <c r="S65" s="404">
        <v>0.11840916571269813</v>
      </c>
      <c r="T65" s="826"/>
      <c r="U65" s="404">
        <f t="shared" si="33"/>
        <v>17.53828628598907</v>
      </c>
      <c r="V65" s="404">
        <f t="shared" si="34"/>
        <v>0.98540492631193</v>
      </c>
      <c r="W65" s="404">
        <f t="shared" si="35"/>
        <v>0.14547760750566099</v>
      </c>
      <c r="X65" s="497">
        <f t="shared" si="28"/>
        <v>17.798050139275766</v>
      </c>
      <c r="Y65" s="497">
        <f t="shared" si="29"/>
        <v>0.1476323119777159</v>
      </c>
    </row>
    <row r="66" spans="1:25" hidden="1" outlineLevel="1">
      <c r="A66" s="818"/>
      <c r="B66" s="816"/>
      <c r="C66" s="401"/>
      <c r="D66" s="401"/>
      <c r="E66" s="401"/>
      <c r="F66" s="401"/>
      <c r="G66" s="401"/>
      <c r="H66" s="401"/>
      <c r="I66" s="401"/>
      <c r="J66" s="401"/>
      <c r="K66" s="401"/>
      <c r="L66" s="401"/>
      <c r="M66" s="401"/>
      <c r="N66" s="401"/>
      <c r="O66" s="401"/>
      <c r="P66" s="401" t="s">
        <v>236</v>
      </c>
      <c r="Q66" s="402">
        <v>34.608988416139745</v>
      </c>
      <c r="R66" s="402">
        <v>2.2352522697274431</v>
      </c>
      <c r="S66" s="402">
        <v>0.25804261584559685</v>
      </c>
      <c r="T66" s="827"/>
      <c r="U66" s="402">
        <f t="shared" si="33"/>
        <v>42.520634299437624</v>
      </c>
      <c r="V66" s="402">
        <f t="shared" si="34"/>
        <v>2.7462329492342232</v>
      </c>
      <c r="W66" s="402">
        <f t="shared" si="35"/>
        <v>0.31703138994158198</v>
      </c>
      <c r="X66" s="498">
        <f t="shared" si="28"/>
        <v>15.483258370814589</v>
      </c>
      <c r="Y66" s="498">
        <f t="shared" si="29"/>
        <v>0.11544227886056971</v>
      </c>
    </row>
    <row r="67" spans="1:25" hidden="1" outlineLevel="1">
      <c r="A67" s="818" t="s">
        <v>809</v>
      </c>
      <c r="B67" s="816" t="s">
        <v>226</v>
      </c>
      <c r="C67" s="399"/>
      <c r="D67" s="399"/>
      <c r="E67" s="399"/>
      <c r="F67" s="399"/>
      <c r="G67" s="399"/>
      <c r="H67" s="399"/>
      <c r="I67" s="399"/>
      <c r="J67" s="399"/>
      <c r="K67" s="399"/>
      <c r="L67" s="399"/>
      <c r="M67" s="399"/>
      <c r="N67" s="399"/>
      <c r="O67" s="399"/>
      <c r="P67" s="399" t="s">
        <v>235</v>
      </c>
      <c r="Q67" s="400">
        <v>8.7975406248866772</v>
      </c>
      <c r="R67" s="400">
        <v>0.49404660863816297</v>
      </c>
      <c r="S67" s="400">
        <v>7.2727673352826011E-2</v>
      </c>
      <c r="T67" s="825">
        <f>'Hałas-zagreg.śred.PL'!R19</f>
        <v>0.24134593442748983</v>
      </c>
      <c r="U67" s="400">
        <f>IFERROR(Q67*(100%+$T$67),"brak")</f>
        <v>10.920791287663754</v>
      </c>
      <c r="V67" s="400">
        <f>IFERROR(R67*(100%+$T$67),"brak")</f>
        <v>0.6132827490506727</v>
      </c>
      <c r="W67" s="400">
        <f>IFERROR(S67*(100%+$T$67),"brak")</f>
        <v>9.028020163690105E-2</v>
      </c>
      <c r="X67" s="495">
        <f t="shared" si="28"/>
        <v>17.807106598984767</v>
      </c>
      <c r="Y67" s="495">
        <f t="shared" si="29"/>
        <v>0.14720812182741116</v>
      </c>
    </row>
    <row r="68" spans="1:25" hidden="1" outlineLevel="1">
      <c r="A68" s="818"/>
      <c r="B68" s="817"/>
      <c r="C68" s="405"/>
      <c r="D68" s="405"/>
      <c r="E68" s="405"/>
      <c r="F68" s="405"/>
      <c r="G68" s="405"/>
      <c r="H68" s="405"/>
      <c r="I68" s="405"/>
      <c r="J68" s="405"/>
      <c r="K68" s="405"/>
      <c r="L68" s="405"/>
      <c r="M68" s="405"/>
      <c r="N68" s="405"/>
      <c r="O68" s="405"/>
      <c r="P68" s="405" t="s">
        <v>236</v>
      </c>
      <c r="Q68" s="406">
        <v>21.330525024222819</v>
      </c>
      <c r="R68" s="406">
        <v>1.3780640174957897</v>
      </c>
      <c r="S68" s="406">
        <v>0.1592485261346363</v>
      </c>
      <c r="T68" s="826"/>
      <c r="U68" s="406">
        <f t="shared" ref="U68:U70" si="36">IFERROR(Q68*(100%+$T$67),"brak")</f>
        <v>26.478560518022828</v>
      </c>
      <c r="V68" s="406">
        <f t="shared" ref="V68:V70" si="37">IFERROR(R68*(100%+$T$67),"brak")</f>
        <v>1.7106541654992116</v>
      </c>
      <c r="W68" s="406">
        <f t="shared" ref="W68:W70" si="38">IFERROR(S68*(100%+$T$67),"brak")</f>
        <v>0.19768251048080063</v>
      </c>
      <c r="X68" s="496">
        <f t="shared" si="28"/>
        <v>15.478616924476798</v>
      </c>
      <c r="Y68" s="496">
        <f t="shared" si="29"/>
        <v>0.11555959963603277</v>
      </c>
    </row>
    <row r="69" spans="1:25" hidden="1" outlineLevel="1">
      <c r="A69" s="818"/>
      <c r="B69" s="815" t="s">
        <v>227</v>
      </c>
      <c r="C69" s="403"/>
      <c r="D69" s="403"/>
      <c r="E69" s="403"/>
      <c r="F69" s="403"/>
      <c r="G69" s="403"/>
      <c r="H69" s="403"/>
      <c r="I69" s="403"/>
      <c r="J69" s="403"/>
      <c r="K69" s="403"/>
      <c r="L69" s="403"/>
      <c r="M69" s="403"/>
      <c r="N69" s="403"/>
      <c r="O69" s="403"/>
      <c r="P69" s="403" t="s">
        <v>235</v>
      </c>
      <c r="Q69" s="404">
        <v>16.023912720271788</v>
      </c>
      <c r="R69" s="404">
        <v>0.9003184390918807</v>
      </c>
      <c r="S69" s="404">
        <v>0.13291609267930274</v>
      </c>
      <c r="T69" s="826"/>
      <c r="U69" s="404">
        <f t="shared" si="36"/>
        <v>19.891218908930323</v>
      </c>
      <c r="V69" s="404">
        <f t="shared" si="37"/>
        <v>1.1176066340568096</v>
      </c>
      <c r="W69" s="404">
        <f t="shared" si="38"/>
        <v>0.1649948512674399</v>
      </c>
      <c r="X69" s="497">
        <f t="shared" si="28"/>
        <v>17.79805013927577</v>
      </c>
      <c r="Y69" s="497">
        <f t="shared" si="29"/>
        <v>0.14763231197771592</v>
      </c>
    </row>
    <row r="70" spans="1:25" hidden="1" outlineLevel="1">
      <c r="A70" s="818"/>
      <c r="B70" s="816"/>
      <c r="C70" s="401"/>
      <c r="D70" s="401"/>
      <c r="E70" s="401"/>
      <c r="F70" s="401"/>
      <c r="G70" s="401"/>
      <c r="H70" s="401"/>
      <c r="I70" s="401"/>
      <c r="J70" s="401"/>
      <c r="K70" s="401"/>
      <c r="L70" s="401"/>
      <c r="M70" s="401"/>
      <c r="N70" s="401"/>
      <c r="O70" s="401"/>
      <c r="P70" s="401" t="s">
        <v>236</v>
      </c>
      <c r="Q70" s="402">
        <v>38.849116824435441</v>
      </c>
      <c r="R70" s="402">
        <v>2.5091047306724974</v>
      </c>
      <c r="S70" s="402">
        <v>0.28965676800866913</v>
      </c>
      <c r="T70" s="827"/>
      <c r="U70" s="402">
        <f t="shared" si="36"/>
        <v>48.225193226111529</v>
      </c>
      <c r="V70" s="402">
        <f t="shared" si="37"/>
        <v>3.1146669564730862</v>
      </c>
      <c r="W70" s="402">
        <f t="shared" si="38"/>
        <v>0.35956425134696801</v>
      </c>
      <c r="X70" s="498">
        <f t="shared" si="28"/>
        <v>15.483258370814594</v>
      </c>
      <c r="Y70" s="498">
        <f t="shared" si="29"/>
        <v>0.11544227886056972</v>
      </c>
    </row>
    <row r="71" spans="1:25" hidden="1" outlineLevel="1">
      <c r="A71" s="818" t="s">
        <v>810</v>
      </c>
      <c r="B71" s="816" t="s">
        <v>226</v>
      </c>
      <c r="C71" s="399"/>
      <c r="D71" s="399"/>
      <c r="E71" s="399"/>
      <c r="F71" s="399"/>
      <c r="G71" s="399"/>
      <c r="H71" s="399"/>
      <c r="I71" s="399"/>
      <c r="J71" s="399"/>
      <c r="K71" s="399"/>
      <c r="L71" s="399"/>
      <c r="M71" s="399"/>
      <c r="N71" s="399"/>
      <c r="O71" s="399"/>
      <c r="P71" s="399" t="s">
        <v>235</v>
      </c>
      <c r="Q71" s="400">
        <v>9.8608127415919764</v>
      </c>
      <c r="R71" s="400">
        <v>0.55375715795143099</v>
      </c>
      <c r="S71" s="400">
        <v>8.1517551170515193E-2</v>
      </c>
      <c r="T71" s="825">
        <f>'Hałas-zagreg.śred.PL'!R20</f>
        <v>0.2473766913918897</v>
      </c>
      <c r="U71" s="400">
        <f>IFERROR(Q71*(100%+$T$71),"brak")</f>
        <v>12.300147972041989</v>
      </c>
      <c r="V71" s="400">
        <f>IFERROR(R71*(100%+$T$71),"brak")</f>
        <v>0.69074377152003208</v>
      </c>
      <c r="W71" s="400">
        <f>IFERROR(S71*(100%+$T$71),"brak")</f>
        <v>0.10168309326944631</v>
      </c>
      <c r="X71" s="495">
        <f t="shared" si="28"/>
        <v>17.807106598984767</v>
      </c>
      <c r="Y71" s="495">
        <f t="shared" si="29"/>
        <v>0.14720812182741111</v>
      </c>
    </row>
    <row r="72" spans="1:25" hidden="1" outlineLevel="1">
      <c r="A72" s="818"/>
      <c r="B72" s="817"/>
      <c r="C72" s="405"/>
      <c r="D72" s="405"/>
      <c r="E72" s="405"/>
      <c r="F72" s="405"/>
      <c r="G72" s="405"/>
      <c r="H72" s="405"/>
      <c r="I72" s="405"/>
      <c r="J72" s="405"/>
      <c r="K72" s="405"/>
      <c r="L72" s="405"/>
      <c r="M72" s="405"/>
      <c r="N72" s="405"/>
      <c r="O72" s="405"/>
      <c r="P72" s="405" t="s">
        <v>236</v>
      </c>
      <c r="Q72" s="406">
        <v>23.908535568304039</v>
      </c>
      <c r="R72" s="406">
        <v>1.5446170471792449</v>
      </c>
      <c r="S72" s="406">
        <v>0.17849532756302466</v>
      </c>
      <c r="T72" s="826"/>
      <c r="U72" s="406">
        <f t="shared" ref="U72:U74" si="39">IFERROR(Q72*(100%+$T$71),"brak")</f>
        <v>29.822949993216408</v>
      </c>
      <c r="V72" s="406">
        <f t="shared" ref="V72:V74" si="40">IFERROR(R72*(100%+$T$71),"brak")</f>
        <v>1.9267193017779569</v>
      </c>
      <c r="W72" s="406">
        <f t="shared" ref="W72:W74" si="41">IFERROR(S72*(100%+$T$71),"brak")</f>
        <v>0.2226509111244773</v>
      </c>
      <c r="X72" s="496">
        <f t="shared" si="28"/>
        <v>15.478616924476801</v>
      </c>
      <c r="Y72" s="496">
        <f t="shared" si="29"/>
        <v>0.11555959963603277</v>
      </c>
    </row>
    <row r="73" spans="1:25" hidden="1" outlineLevel="1">
      <c r="A73" s="818"/>
      <c r="B73" s="815" t="s">
        <v>227</v>
      </c>
      <c r="C73" s="403"/>
      <c r="D73" s="403"/>
      <c r="E73" s="403"/>
      <c r="F73" s="403"/>
      <c r="G73" s="403"/>
      <c r="H73" s="403"/>
      <c r="I73" s="403"/>
      <c r="J73" s="403"/>
      <c r="K73" s="403"/>
      <c r="L73" s="403"/>
      <c r="M73" s="403"/>
      <c r="N73" s="403"/>
      <c r="O73" s="403"/>
      <c r="P73" s="403" t="s">
        <v>235</v>
      </c>
      <c r="Q73" s="404">
        <v>17.960565282896791</v>
      </c>
      <c r="R73" s="404">
        <v>1.009131064490171</v>
      </c>
      <c r="S73" s="404">
        <v>0.14898035213921745</v>
      </c>
      <c r="T73" s="826"/>
      <c r="U73" s="404">
        <f t="shared" si="39"/>
        <v>22.403590498107839</v>
      </c>
      <c r="V73" s="404">
        <f t="shared" si="40"/>
        <v>1.2587665684045253</v>
      </c>
      <c r="W73" s="404">
        <f t="shared" si="41"/>
        <v>0.18583461873381571</v>
      </c>
      <c r="X73" s="497">
        <f t="shared" si="28"/>
        <v>17.798050139275766</v>
      </c>
      <c r="Y73" s="497">
        <f t="shared" si="29"/>
        <v>0.14763231197771587</v>
      </c>
    </row>
    <row r="74" spans="1:25" hidden="1" outlineLevel="1">
      <c r="A74" s="818"/>
      <c r="B74" s="816"/>
      <c r="C74" s="401"/>
      <c r="D74" s="401"/>
      <c r="E74" s="401"/>
      <c r="F74" s="401"/>
      <c r="G74" s="401"/>
      <c r="H74" s="401"/>
      <c r="I74" s="401"/>
      <c r="J74" s="401"/>
      <c r="K74" s="401"/>
      <c r="L74" s="401"/>
      <c r="M74" s="401"/>
      <c r="N74" s="401"/>
      <c r="O74" s="401"/>
      <c r="P74" s="401" t="s">
        <v>236</v>
      </c>
      <c r="Q74" s="402">
        <v>43.544427075256934</v>
      </c>
      <c r="R74" s="402">
        <v>2.8123555153827744</v>
      </c>
      <c r="S74" s="402">
        <v>0.32466472966187954</v>
      </c>
      <c r="T74" s="827"/>
      <c r="U74" s="402">
        <f t="shared" si="39"/>
        <v>54.316303373689415</v>
      </c>
      <c r="V74" s="402">
        <f t="shared" si="40"/>
        <v>3.5080667177958982</v>
      </c>
      <c r="W74" s="402">
        <f t="shared" si="41"/>
        <v>0.40497921629727762</v>
      </c>
      <c r="X74" s="498">
        <f t="shared" si="28"/>
        <v>15.483258370814593</v>
      </c>
      <c r="Y74" s="498">
        <f t="shared" si="29"/>
        <v>0.11544227886056972</v>
      </c>
    </row>
    <row r="75" spans="1:25" hidden="1" outlineLevel="1">
      <c r="A75" s="399"/>
      <c r="B75" s="399"/>
      <c r="C75" s="399"/>
      <c r="D75" s="399"/>
      <c r="E75" s="399"/>
      <c r="F75" s="399"/>
      <c r="G75" s="399"/>
      <c r="H75" s="399"/>
      <c r="I75" s="399"/>
      <c r="J75" s="399"/>
      <c r="K75" s="399"/>
      <c r="L75" s="399"/>
      <c r="M75" s="399"/>
      <c r="N75" s="399"/>
      <c r="O75" s="399"/>
      <c r="P75" s="415"/>
      <c r="Q75" s="415"/>
      <c r="R75" s="415"/>
      <c r="S75" s="415"/>
      <c r="T75" s="416"/>
      <c r="U75" s="417"/>
      <c r="V75" s="415"/>
      <c r="W75" s="415"/>
      <c r="X75" s="493"/>
      <c r="Y75" s="493"/>
    </row>
    <row r="76" spans="1:25" hidden="1" outlineLevel="1">
      <c r="A76" s="407" t="s">
        <v>811</v>
      </c>
      <c r="B76" s="407"/>
      <c r="C76" s="407"/>
      <c r="D76" s="407"/>
      <c r="E76" s="407"/>
      <c r="F76" s="407"/>
      <c r="G76" s="407"/>
      <c r="H76" s="407"/>
      <c r="I76" s="407"/>
      <c r="J76" s="407"/>
      <c r="K76" s="407"/>
      <c r="L76" s="407"/>
      <c r="M76" s="407"/>
      <c r="N76" s="407"/>
      <c r="O76" s="407"/>
      <c r="P76" s="418"/>
      <c r="Q76" s="418"/>
      <c r="R76" s="418"/>
      <c r="S76" s="418"/>
      <c r="T76" s="419"/>
      <c r="U76" s="420"/>
      <c r="V76" s="418"/>
      <c r="W76" s="418"/>
      <c r="X76" s="494"/>
      <c r="Y76" s="494"/>
    </row>
    <row r="77" spans="1:25" hidden="1" outlineLevel="1">
      <c r="A77" s="818" t="s">
        <v>193</v>
      </c>
      <c r="B77" s="816" t="s">
        <v>226</v>
      </c>
      <c r="C77" s="399"/>
      <c r="D77" s="399"/>
      <c r="E77" s="399"/>
      <c r="F77" s="399"/>
      <c r="G77" s="399"/>
      <c r="H77" s="399"/>
      <c r="I77" s="399"/>
      <c r="J77" s="399"/>
      <c r="K77" s="399"/>
      <c r="L77" s="399"/>
      <c r="M77" s="399"/>
      <c r="N77" s="399"/>
      <c r="O77" s="399"/>
      <c r="P77" s="399" t="s">
        <v>235</v>
      </c>
      <c r="Q77" s="400">
        <v>9.0224476047098747</v>
      </c>
      <c r="R77" s="400">
        <v>0.50637392798529057</v>
      </c>
      <c r="S77" s="400">
        <v>7.5719465866959351E-2</v>
      </c>
      <c r="T77" s="825">
        <f>'Hałas-zagreg.śred.PL'!R22</f>
        <v>-0.11396452602320215</v>
      </c>
      <c r="U77" s="400">
        <f>IFERROR(Q77*(100%+$T$77),"brak")</f>
        <v>7.9942086398699379</v>
      </c>
      <c r="V77" s="400">
        <f>IFERROR(R77*(100%+$T$77),"brak")</f>
        <v>0.44866526329193984</v>
      </c>
      <c r="W77" s="400">
        <f>IFERROR(S77*(100%+$T$77),"brak")</f>
        <v>6.7090132828701299E-2</v>
      </c>
      <c r="X77" s="495">
        <f t="shared" ref="X77:X84" si="42">IFERROR(U77/V77,"brak")</f>
        <v>17.817757009345794</v>
      </c>
      <c r="Y77" s="495">
        <f t="shared" ref="Y77:Y84" si="43">IFERROR(W77/V77,"brak")</f>
        <v>0.14953271028037388</v>
      </c>
    </row>
    <row r="78" spans="1:25" hidden="1" outlineLevel="1">
      <c r="A78" s="818"/>
      <c r="B78" s="817"/>
      <c r="C78" s="405"/>
      <c r="D78" s="405"/>
      <c r="E78" s="405"/>
      <c r="F78" s="405"/>
      <c r="G78" s="405"/>
      <c r="H78" s="405"/>
      <c r="I78" s="405"/>
      <c r="J78" s="405"/>
      <c r="K78" s="405"/>
      <c r="L78" s="405"/>
      <c r="M78" s="405"/>
      <c r="N78" s="405"/>
      <c r="O78" s="405"/>
      <c r="P78" s="405" t="s">
        <v>236</v>
      </c>
      <c r="Q78" s="406">
        <v>21.875826935626225</v>
      </c>
      <c r="R78" s="406">
        <v>1.4126412850804606</v>
      </c>
      <c r="S78" s="406">
        <v>0.16327009827563108</v>
      </c>
      <c r="T78" s="826"/>
      <c r="U78" s="406">
        <f t="shared" ref="U78:U80" si="44">IFERROR(Q78*(100%+$T$77),"brak")</f>
        <v>19.382758687541983</v>
      </c>
      <c r="V78" s="406">
        <f t="shared" ref="V78:V80" si="45">IFERROR(R78*(100%+$T$77),"brak")</f>
        <v>1.2516502905854587</v>
      </c>
      <c r="W78" s="406">
        <f t="shared" ref="W78:W80" si="46">IFERROR(S78*(100%+$T$77),"brak")</f>
        <v>0.14466309891188714</v>
      </c>
      <c r="X78" s="496">
        <f t="shared" si="42"/>
        <v>15.485762144053599</v>
      </c>
      <c r="Y78" s="496">
        <f t="shared" si="43"/>
        <v>0.11557788944723614</v>
      </c>
    </row>
    <row r="79" spans="1:25" hidden="1" outlineLevel="1">
      <c r="A79" s="818"/>
      <c r="B79" s="815" t="s">
        <v>227</v>
      </c>
      <c r="C79" s="403"/>
      <c r="D79" s="403"/>
      <c r="E79" s="403"/>
      <c r="F79" s="403"/>
      <c r="G79" s="403"/>
      <c r="H79" s="403"/>
      <c r="I79" s="403"/>
      <c r="J79" s="403"/>
      <c r="K79" s="403"/>
      <c r="L79" s="403"/>
      <c r="M79" s="403"/>
      <c r="N79" s="403"/>
      <c r="O79" s="403"/>
      <c r="P79" s="403" t="s">
        <v>235</v>
      </c>
      <c r="Q79" s="404">
        <v>16.43349032643852</v>
      </c>
      <c r="R79" s="404">
        <v>0.92283099025356707</v>
      </c>
      <c r="S79" s="404">
        <v>0.13724153188386379</v>
      </c>
      <c r="T79" s="826"/>
      <c r="U79" s="404">
        <f t="shared" si="44"/>
        <v>14.560655390479075</v>
      </c>
      <c r="V79" s="404">
        <f t="shared" si="45"/>
        <v>0.81766099384979696</v>
      </c>
      <c r="W79" s="404">
        <f t="shared" si="46"/>
        <v>0.12160086575202106</v>
      </c>
      <c r="X79" s="497">
        <f t="shared" si="42"/>
        <v>17.807692307692307</v>
      </c>
      <c r="Y79" s="497">
        <f t="shared" si="43"/>
        <v>0.14871794871794869</v>
      </c>
    </row>
    <row r="80" spans="1:25" hidden="1" outlineLevel="1">
      <c r="A80" s="818"/>
      <c r="B80" s="816"/>
      <c r="C80" s="401"/>
      <c r="D80" s="401"/>
      <c r="E80" s="401"/>
      <c r="F80" s="401"/>
      <c r="G80" s="401"/>
      <c r="H80" s="401"/>
      <c r="I80" s="401"/>
      <c r="J80" s="401"/>
      <c r="K80" s="401"/>
      <c r="L80" s="401"/>
      <c r="M80" s="401"/>
      <c r="N80" s="401"/>
      <c r="O80" s="401"/>
      <c r="P80" s="401" t="s">
        <v>236</v>
      </c>
      <c r="Q80" s="402">
        <v>39.842636445870667</v>
      </c>
      <c r="R80" s="402">
        <v>2.5744618394766183</v>
      </c>
      <c r="S80" s="402">
        <v>0.29814539685115238</v>
      </c>
      <c r="T80" s="827"/>
      <c r="U80" s="402">
        <f t="shared" si="44"/>
        <v>35.301989267802256</v>
      </c>
      <c r="V80" s="402">
        <f t="shared" si="45"/>
        <v>2.2810645161758445</v>
      </c>
      <c r="W80" s="402">
        <f t="shared" si="46"/>
        <v>0.26416739801301126</v>
      </c>
      <c r="X80" s="498">
        <f t="shared" si="42"/>
        <v>15.476102941176464</v>
      </c>
      <c r="Y80" s="498">
        <f t="shared" si="43"/>
        <v>0.1158088235294117</v>
      </c>
    </row>
    <row r="81" spans="1:25" hidden="1" outlineLevel="1">
      <c r="A81" s="818" t="s">
        <v>194</v>
      </c>
      <c r="B81" s="816" t="s">
        <v>226</v>
      </c>
      <c r="C81" s="399"/>
      <c r="D81" s="399"/>
      <c r="E81" s="399"/>
      <c r="F81" s="399"/>
      <c r="G81" s="399"/>
      <c r="H81" s="399"/>
      <c r="I81" s="399"/>
      <c r="J81" s="399"/>
      <c r="K81" s="399"/>
      <c r="L81" s="399"/>
      <c r="M81" s="399"/>
      <c r="N81" s="399"/>
      <c r="O81" s="399"/>
      <c r="P81" s="399" t="s">
        <v>235</v>
      </c>
      <c r="Q81" s="400">
        <v>5.2715820199112517</v>
      </c>
      <c r="R81" s="400">
        <v>0.29586114667217617</v>
      </c>
      <c r="S81" s="400">
        <v>4.4240919128549716E-2</v>
      </c>
      <c r="T81" s="825">
        <f>'Hałas-zagreg.śred.PL'!R23</f>
        <v>0.12300364960583066</v>
      </c>
      <c r="U81" s="400">
        <f>IFERROR(Q81*(100%+$T$81),"brak")</f>
        <v>5.920005847556812</v>
      </c>
      <c r="V81" s="400">
        <f>IFERROR(R81*(100%+$T$81),"brak")</f>
        <v>0.33225314748941981</v>
      </c>
      <c r="W81" s="400">
        <f>IFERROR(S81*(100%+$T$81),"brak")</f>
        <v>4.9682713643277733E-2</v>
      </c>
      <c r="X81" s="495">
        <f t="shared" si="42"/>
        <v>17.817757009345794</v>
      </c>
      <c r="Y81" s="495">
        <f t="shared" si="43"/>
        <v>0.14953271028037385</v>
      </c>
    </row>
    <row r="82" spans="1:25" hidden="1" outlineLevel="1">
      <c r="A82" s="818"/>
      <c r="B82" s="817"/>
      <c r="C82" s="405"/>
      <c r="D82" s="405"/>
      <c r="E82" s="405"/>
      <c r="F82" s="405"/>
      <c r="G82" s="405"/>
      <c r="H82" s="405"/>
      <c r="I82" s="405"/>
      <c r="J82" s="405"/>
      <c r="K82" s="405"/>
      <c r="L82" s="405"/>
      <c r="M82" s="405"/>
      <c r="N82" s="405"/>
      <c r="O82" s="405"/>
      <c r="P82" s="405" t="s">
        <v>236</v>
      </c>
      <c r="Q82" s="406">
        <v>12.781478041982565</v>
      </c>
      <c r="R82" s="406">
        <v>0.82536964749200548</v>
      </c>
      <c r="S82" s="406">
        <v>9.5394481870935313E-2</v>
      </c>
      <c r="T82" s="826"/>
      <c r="U82" s="406">
        <f t="shared" ref="U82:U84" si="47">IFERROR(Q82*(100%+$T$81),"brak")</f>
        <v>14.353646488503207</v>
      </c>
      <c r="V82" s="406">
        <f t="shared" ref="V82:V84" si="48">IFERROR(R82*(100%+$T$81),"brak")</f>
        <v>0.92689312640740007</v>
      </c>
      <c r="W82" s="406">
        <f t="shared" ref="W82:W84" si="49">IFERROR(S82*(100%+$T$81),"brak")</f>
        <v>0.1071283512933176</v>
      </c>
      <c r="X82" s="496">
        <f t="shared" si="42"/>
        <v>15.485762144053604</v>
      </c>
      <c r="Y82" s="496">
        <f t="shared" si="43"/>
        <v>0.11557788944723618</v>
      </c>
    </row>
    <row r="83" spans="1:25" hidden="1" outlineLevel="1">
      <c r="A83" s="818"/>
      <c r="B83" s="815" t="s">
        <v>227</v>
      </c>
      <c r="C83" s="403"/>
      <c r="D83" s="403"/>
      <c r="E83" s="403"/>
      <c r="F83" s="403"/>
      <c r="G83" s="403"/>
      <c r="H83" s="403"/>
      <c r="I83" s="403"/>
      <c r="J83" s="403"/>
      <c r="K83" s="403"/>
      <c r="L83" s="403"/>
      <c r="M83" s="403"/>
      <c r="N83" s="403"/>
      <c r="O83" s="403"/>
      <c r="P83" s="403" t="s">
        <v>235</v>
      </c>
      <c r="Q83" s="404">
        <v>9.6016619796180542</v>
      </c>
      <c r="R83" s="404">
        <v>0.53918620187919963</v>
      </c>
      <c r="S83" s="404">
        <v>8.018666592049635E-2</v>
      </c>
      <c r="T83" s="826"/>
      <c r="U83" s="404">
        <f t="shared" si="47"/>
        <v>10.78270144539262</v>
      </c>
      <c r="V83" s="404">
        <f t="shared" si="48"/>
        <v>0.60550807252744743</v>
      </c>
      <c r="W83" s="404">
        <f t="shared" si="49"/>
        <v>9.0049918478440891E-2</v>
      </c>
      <c r="X83" s="497">
        <f t="shared" si="42"/>
        <v>17.807692307692307</v>
      </c>
      <c r="Y83" s="497">
        <f t="shared" si="43"/>
        <v>0.14871794871794872</v>
      </c>
    </row>
    <row r="84" spans="1:25" hidden="1" outlineLevel="1">
      <c r="A84" s="818"/>
      <c r="B84" s="816"/>
      <c r="C84" s="401"/>
      <c r="D84" s="401"/>
      <c r="E84" s="401"/>
      <c r="F84" s="401"/>
      <c r="G84" s="401"/>
      <c r="H84" s="401"/>
      <c r="I84" s="401"/>
      <c r="J84" s="401"/>
      <c r="K84" s="401"/>
      <c r="L84" s="401"/>
      <c r="M84" s="401"/>
      <c r="N84" s="401"/>
      <c r="O84" s="401"/>
      <c r="P84" s="401" t="s">
        <v>236</v>
      </c>
      <c r="Q84" s="402">
        <v>23.279018633953754</v>
      </c>
      <c r="R84" s="402">
        <v>1.5041912503706905</v>
      </c>
      <c r="S84" s="402">
        <v>0.17419861906866446</v>
      </c>
      <c r="T84" s="827"/>
      <c r="U84" s="402">
        <f t="shared" si="47"/>
        <v>26.142422885172206</v>
      </c>
      <c r="V84" s="402">
        <f t="shared" si="48"/>
        <v>1.6892122638714431</v>
      </c>
      <c r="W84" s="402">
        <f t="shared" si="49"/>
        <v>0.19562568497040603</v>
      </c>
      <c r="X84" s="498">
        <f t="shared" si="42"/>
        <v>15.476102941176471</v>
      </c>
      <c r="Y84" s="498">
        <f t="shared" si="43"/>
        <v>0.11580882352941173</v>
      </c>
    </row>
    <row r="85" spans="1:25" hidden="1" outlineLevel="1">
      <c r="A85" s="35" t="s">
        <v>402</v>
      </c>
    </row>
    <row r="86" spans="1:25" hidden="1" outlineLevel="1">
      <c r="A86" s="715" t="s">
        <v>812</v>
      </c>
      <c r="B86" s="715"/>
      <c r="C86" s="715"/>
      <c r="D86" s="715"/>
      <c r="E86" s="715"/>
      <c r="F86" s="715"/>
      <c r="G86" s="715"/>
      <c r="H86" s="715"/>
      <c r="I86" s="715"/>
      <c r="J86" s="715"/>
      <c r="K86" s="715"/>
      <c r="L86" s="715"/>
      <c r="M86" s="715"/>
      <c r="N86" s="715"/>
      <c r="O86" s="715"/>
      <c r="P86" s="715"/>
      <c r="Q86" s="715"/>
      <c r="R86" s="715"/>
      <c r="S86" s="715"/>
      <c r="T86" s="715"/>
      <c r="U86" s="715"/>
      <c r="V86" s="715"/>
    </row>
    <row r="87" spans="1:25" s="694" customFormat="1" hidden="1" outlineLevel="1">
      <c r="A87" s="715"/>
      <c r="B87" s="715"/>
      <c r="C87" s="715"/>
      <c r="D87" s="715"/>
      <c r="E87" s="715"/>
      <c r="F87" s="715"/>
      <c r="G87" s="715"/>
      <c r="H87" s="715"/>
      <c r="I87" s="715"/>
      <c r="J87" s="715"/>
      <c r="K87" s="715"/>
      <c r="L87" s="715"/>
      <c r="M87" s="715"/>
      <c r="N87" s="715"/>
      <c r="O87" s="715"/>
      <c r="P87" s="715"/>
      <c r="Q87" s="715"/>
      <c r="R87" s="715"/>
      <c r="S87" s="715"/>
      <c r="T87" s="715"/>
      <c r="U87" s="715"/>
      <c r="V87" s="715"/>
    </row>
    <row r="88" spans="1:25" s="369" customFormat="1" hidden="1" outlineLevel="1"/>
    <row r="89" spans="1:25" hidden="1" outlineLevel="1">
      <c r="A89" s="206" t="s">
        <v>813</v>
      </c>
      <c r="B89" s="410"/>
    </row>
    <row r="90" spans="1:25" hidden="1" outlineLevel="1">
      <c r="A90" s="412" t="s">
        <v>814</v>
      </c>
      <c r="B90" s="413">
        <v>0.85</v>
      </c>
    </row>
    <row r="91" spans="1:25" hidden="1" outlineLevel="1">
      <c r="A91" s="412" t="s">
        <v>815</v>
      </c>
      <c r="B91" s="413">
        <f>100%-B90</f>
        <v>0.15000000000000002</v>
      </c>
    </row>
    <row r="92" spans="1:25" hidden="1" outlineLevel="1">
      <c r="A92" s="35" t="s">
        <v>816</v>
      </c>
      <c r="B92" s="411"/>
    </row>
    <row r="93" spans="1:25" hidden="1" outlineLevel="1">
      <c r="A93" s="772" t="s">
        <v>817</v>
      </c>
      <c r="B93" s="772"/>
      <c r="C93" s="772"/>
      <c r="D93" s="772"/>
      <c r="E93" s="772"/>
      <c r="F93" s="772"/>
      <c r="G93" s="772"/>
      <c r="H93" s="772"/>
      <c r="I93" s="772"/>
      <c r="J93" s="772"/>
      <c r="K93" s="772"/>
      <c r="L93" s="772"/>
      <c r="M93" s="772"/>
      <c r="N93" s="772"/>
      <c r="O93" s="772"/>
      <c r="P93" s="772"/>
      <c r="Q93" s="772"/>
      <c r="R93" s="772"/>
      <c r="S93" s="772"/>
      <c r="T93" s="772"/>
      <c r="U93" s="772"/>
      <c r="V93" s="772"/>
    </row>
    <row r="94" spans="1:25" s="694" customFormat="1" hidden="1" outlineLevel="1">
      <c r="A94" s="772"/>
      <c r="B94" s="772"/>
      <c r="C94" s="772"/>
      <c r="D94" s="772"/>
      <c r="E94" s="772"/>
      <c r="F94" s="772"/>
      <c r="G94" s="772"/>
      <c r="H94" s="772"/>
      <c r="I94" s="772"/>
      <c r="J94" s="772"/>
      <c r="K94" s="772"/>
      <c r="L94" s="772"/>
      <c r="M94" s="772"/>
      <c r="N94" s="772"/>
      <c r="O94" s="772"/>
      <c r="P94" s="772"/>
      <c r="Q94" s="772"/>
      <c r="R94" s="772"/>
      <c r="S94" s="772"/>
      <c r="T94" s="772"/>
      <c r="U94" s="772"/>
      <c r="V94" s="772"/>
    </row>
    <row r="95" spans="1:25" s="694" customFormat="1" hidden="1" outlineLevel="1">
      <c r="A95" s="772"/>
      <c r="B95" s="772"/>
      <c r="C95" s="772"/>
      <c r="D95" s="772"/>
      <c r="E95" s="772"/>
      <c r="F95" s="772"/>
      <c r="G95" s="772"/>
      <c r="H95" s="772"/>
      <c r="I95" s="772"/>
      <c r="J95" s="772"/>
      <c r="K95" s="772"/>
      <c r="L95" s="772"/>
      <c r="M95" s="772"/>
      <c r="N95" s="772"/>
      <c r="O95" s="772"/>
      <c r="P95" s="772"/>
      <c r="Q95" s="772"/>
      <c r="R95" s="772"/>
      <c r="S95" s="772"/>
      <c r="T95" s="772"/>
      <c r="U95" s="772"/>
      <c r="V95" s="772"/>
    </row>
    <row r="96" spans="1:25" s="694" customFormat="1" hidden="1" outlineLevel="1">
      <c r="A96" s="772"/>
      <c r="B96" s="772"/>
      <c r="C96" s="772"/>
      <c r="D96" s="772"/>
      <c r="E96" s="772"/>
      <c r="F96" s="772"/>
      <c r="G96" s="772"/>
      <c r="H96" s="772"/>
      <c r="I96" s="772"/>
      <c r="J96" s="772"/>
      <c r="K96" s="772"/>
      <c r="L96" s="772"/>
      <c r="M96" s="772"/>
      <c r="N96" s="772"/>
      <c r="O96" s="772"/>
      <c r="P96" s="772"/>
      <c r="Q96" s="772"/>
      <c r="R96" s="772"/>
      <c r="S96" s="772"/>
      <c r="T96" s="772"/>
      <c r="U96" s="772"/>
      <c r="V96" s="772"/>
    </row>
    <row r="97" spans="1:22" hidden="1" outlineLevel="1"/>
    <row r="98" spans="1:22" s="532" customFormat="1" hidden="1" outlineLevel="1">
      <c r="A98" s="532" t="s">
        <v>143</v>
      </c>
      <c r="B98" s="163">
        <f>1/100</f>
        <v>0.01</v>
      </c>
    </row>
    <row r="99" spans="1:22" s="532" customFormat="1" hidden="1" outlineLevel="1"/>
    <row r="100" spans="1:22" s="369" customFormat="1" hidden="1" outlineLevel="1">
      <c r="A100" s="9" t="s">
        <v>2</v>
      </c>
      <c r="B100" s="6"/>
      <c r="C100" s="6"/>
      <c r="D100" s="6"/>
      <c r="E100" s="6"/>
      <c r="F100" s="6"/>
      <c r="G100" s="6"/>
      <c r="H100" s="6"/>
      <c r="I100" s="6"/>
      <c r="J100" s="6"/>
      <c r="K100" s="6"/>
      <c r="L100" s="6"/>
      <c r="M100" s="6"/>
      <c r="N100" s="6"/>
      <c r="O100" s="6"/>
      <c r="P100" s="6"/>
      <c r="Q100" s="6">
        <v>2016</v>
      </c>
    </row>
    <row r="101" spans="1:22" s="369" customFormat="1" hidden="1" outlineLevel="1">
      <c r="A101" s="8" t="s">
        <v>3</v>
      </c>
      <c r="B101" s="12"/>
      <c r="C101" s="12"/>
      <c r="D101" s="12"/>
      <c r="E101" s="12"/>
      <c r="F101" s="12"/>
      <c r="G101" s="12"/>
      <c r="H101" s="12"/>
      <c r="I101" s="12"/>
      <c r="J101" s="12"/>
      <c r="K101" s="12"/>
      <c r="L101" s="12"/>
      <c r="M101" s="12"/>
      <c r="N101" s="12"/>
      <c r="O101" s="12"/>
      <c r="P101" s="12"/>
      <c r="Q101" s="11">
        <f>Indeksacja!$Q$41</f>
        <v>4.3632</v>
      </c>
    </row>
    <row r="102" spans="1:22" s="369" customFormat="1" hidden="1" outlineLevel="1">
      <c r="A102" s="35" t="str">
        <f>Indeksacja!$A$42</f>
        <v>Źródło: ECB, http://sdw.ecb.europa.eu/quickview.do?SERIES_KEY=120.EXR.A.PLN.EUR.SP00.A</v>
      </c>
    </row>
    <row r="103" spans="1:22" hidden="1" outlineLevel="1"/>
    <row r="104" spans="1:22" s="490" customFormat="1" hidden="1" outlineLevel="1">
      <c r="A104" s="9" t="s">
        <v>589</v>
      </c>
      <c r="B104" s="6"/>
      <c r="C104" s="6"/>
      <c r="D104" s="6"/>
      <c r="E104" s="6"/>
      <c r="F104" s="6"/>
      <c r="G104" s="6"/>
      <c r="H104" s="6"/>
      <c r="I104" s="6"/>
      <c r="J104" s="6"/>
      <c r="K104" s="6"/>
      <c r="L104" s="6"/>
      <c r="M104" s="6"/>
      <c r="N104" s="6"/>
      <c r="O104" s="6"/>
      <c r="P104" s="6"/>
      <c r="Q104" s="6">
        <v>2016</v>
      </c>
    </row>
    <row r="105" spans="1:22" s="490" customFormat="1" hidden="1" outlineLevel="1">
      <c r="A105" s="8" t="s">
        <v>80</v>
      </c>
      <c r="B105" s="503"/>
      <c r="C105" s="503"/>
      <c r="D105" s="503"/>
      <c r="E105" s="503"/>
      <c r="F105" s="503"/>
      <c r="G105" s="503"/>
      <c r="H105" s="503"/>
      <c r="I105" s="503"/>
      <c r="J105" s="503"/>
      <c r="K105" s="503"/>
      <c r="L105" s="503"/>
      <c r="M105" s="503"/>
      <c r="N105" s="503"/>
      <c r="O105" s="503"/>
      <c r="P105" s="503"/>
      <c r="Q105" s="489">
        <f>Indeksacja!$Q$44</f>
        <v>68.2</v>
      </c>
    </row>
    <row r="106" spans="1:22" s="490" customFormat="1" hidden="1" outlineLevel="1">
      <c r="A106" s="35" t="str">
        <f>Indeksacja!$A$45</f>
        <v>Źródło: Eurostat, https://ec.europa.eu/eurostat/data/database Main GDP aggregates per capita [nama_10_pc] (aktualizacja 28.01.2022)</v>
      </c>
    </row>
    <row r="107" spans="1:22" s="490" customFormat="1" hidden="1" outlineLevel="1">
      <c r="Q107" s="14"/>
    </row>
    <row r="108" spans="1:22" s="613" customFormat="1" hidden="1" outlineLevel="1">
      <c r="A108" s="749" t="str">
        <f>'VoT czas ładunki'!$A$41</f>
        <v xml:space="preserve">Wyjaśnienie w sprawie przeliczenia wyjściowych wartości kosztów jednostkowych z zastosowaniem kursu walutowego PLN/EUR oraz PKB Polski per capita w jednostkach siły nabywczej (PPS): </v>
      </c>
      <c r="B108" s="749"/>
      <c r="C108" s="749"/>
      <c r="D108" s="749"/>
      <c r="E108" s="749"/>
      <c r="F108" s="749"/>
      <c r="G108" s="749"/>
      <c r="H108" s="749"/>
      <c r="I108" s="749"/>
      <c r="J108" s="749"/>
      <c r="K108" s="749"/>
      <c r="L108" s="749"/>
      <c r="M108" s="749"/>
      <c r="N108" s="749"/>
      <c r="O108" s="749"/>
      <c r="P108" s="749"/>
      <c r="Q108" s="749"/>
      <c r="R108" s="749"/>
      <c r="S108" s="749"/>
      <c r="T108" s="749"/>
      <c r="U108" s="749"/>
      <c r="V108" s="749"/>
    </row>
    <row r="109" spans="1:22" s="694" customFormat="1" hidden="1" outlineLevel="1">
      <c r="A109" s="749"/>
      <c r="B109" s="749"/>
      <c r="C109" s="749"/>
      <c r="D109" s="749"/>
      <c r="E109" s="749"/>
      <c r="F109" s="749"/>
      <c r="G109" s="749"/>
      <c r="H109" s="749"/>
      <c r="I109" s="749"/>
      <c r="J109" s="749"/>
      <c r="K109" s="749"/>
      <c r="L109" s="749"/>
      <c r="M109" s="749"/>
      <c r="N109" s="749"/>
      <c r="O109" s="749"/>
      <c r="P109" s="749"/>
      <c r="Q109" s="749"/>
      <c r="R109" s="749"/>
      <c r="S109" s="749"/>
      <c r="T109" s="749"/>
      <c r="U109" s="749"/>
      <c r="V109" s="749"/>
    </row>
    <row r="110" spans="1:22" s="613" customFormat="1" hidden="1" outlineLevel="1">
      <c r="A110" s="536" t="s">
        <v>531</v>
      </c>
      <c r="Q110" s="14"/>
    </row>
    <row r="111" spans="1:22" s="613" customFormat="1" hidden="1" outlineLevel="1">
      <c r="Q111" s="14"/>
    </row>
    <row r="112" spans="1:22" collapsed="1">
      <c r="A112" s="1" t="s">
        <v>818</v>
      </c>
    </row>
    <row r="113" spans="1:61">
      <c r="A113" s="435" t="s">
        <v>248</v>
      </c>
      <c r="B113" s="685" t="s">
        <v>328</v>
      </c>
      <c r="C113" s="671"/>
      <c r="D113" s="671"/>
      <c r="E113" s="671"/>
      <c r="F113" s="671"/>
      <c r="G113" s="671"/>
      <c r="H113" s="671"/>
      <c r="I113" s="671"/>
      <c r="J113" s="671"/>
      <c r="K113" s="671"/>
      <c r="L113" s="671"/>
      <c r="M113" s="671"/>
      <c r="N113" s="671"/>
      <c r="O113" s="671"/>
      <c r="P113" s="674"/>
      <c r="Q113" s="6"/>
      <c r="R113" s="6"/>
      <c r="S113" s="6"/>
      <c r="T113" s="6">
        <v>2020</v>
      </c>
      <c r="U113" s="6">
        <f>T113+1</f>
        <v>2021</v>
      </c>
      <c r="V113" s="6">
        <f t="shared" ref="V113:BI113" si="50">U113+1</f>
        <v>2022</v>
      </c>
      <c r="W113" s="6">
        <f t="shared" si="50"/>
        <v>2023</v>
      </c>
      <c r="X113" s="6">
        <f t="shared" si="50"/>
        <v>2024</v>
      </c>
      <c r="Y113" s="6">
        <f t="shared" si="50"/>
        <v>2025</v>
      </c>
      <c r="Z113" s="6">
        <f t="shared" si="50"/>
        <v>2026</v>
      </c>
      <c r="AA113" s="6">
        <f t="shared" si="50"/>
        <v>2027</v>
      </c>
      <c r="AB113" s="6">
        <f t="shared" si="50"/>
        <v>2028</v>
      </c>
      <c r="AC113" s="6">
        <f t="shared" si="50"/>
        <v>2029</v>
      </c>
      <c r="AD113" s="6">
        <f t="shared" si="50"/>
        <v>2030</v>
      </c>
      <c r="AE113" s="6">
        <f t="shared" si="50"/>
        <v>2031</v>
      </c>
      <c r="AF113" s="6">
        <f t="shared" si="50"/>
        <v>2032</v>
      </c>
      <c r="AG113" s="6">
        <f t="shared" si="50"/>
        <v>2033</v>
      </c>
      <c r="AH113" s="6">
        <f t="shared" si="50"/>
        <v>2034</v>
      </c>
      <c r="AI113" s="6">
        <f t="shared" si="50"/>
        <v>2035</v>
      </c>
      <c r="AJ113" s="6">
        <f t="shared" si="50"/>
        <v>2036</v>
      </c>
      <c r="AK113" s="6">
        <f t="shared" si="50"/>
        <v>2037</v>
      </c>
      <c r="AL113" s="6">
        <f t="shared" si="50"/>
        <v>2038</v>
      </c>
      <c r="AM113" s="6">
        <f t="shared" si="50"/>
        <v>2039</v>
      </c>
      <c r="AN113" s="6">
        <f t="shared" si="50"/>
        <v>2040</v>
      </c>
      <c r="AO113" s="6">
        <f t="shared" si="50"/>
        <v>2041</v>
      </c>
      <c r="AP113" s="6">
        <f t="shared" si="50"/>
        <v>2042</v>
      </c>
      <c r="AQ113" s="6">
        <f t="shared" si="50"/>
        <v>2043</v>
      </c>
      <c r="AR113" s="6">
        <f t="shared" si="50"/>
        <v>2044</v>
      </c>
      <c r="AS113" s="6">
        <f t="shared" si="50"/>
        <v>2045</v>
      </c>
      <c r="AT113" s="6">
        <f t="shared" si="50"/>
        <v>2046</v>
      </c>
      <c r="AU113" s="6">
        <f t="shared" si="50"/>
        <v>2047</v>
      </c>
      <c r="AV113" s="6">
        <f t="shared" si="50"/>
        <v>2048</v>
      </c>
      <c r="AW113" s="6">
        <f t="shared" si="50"/>
        <v>2049</v>
      </c>
      <c r="AX113" s="6">
        <f t="shared" si="50"/>
        <v>2050</v>
      </c>
      <c r="AY113" s="6">
        <f t="shared" si="50"/>
        <v>2051</v>
      </c>
      <c r="AZ113" s="6">
        <f t="shared" si="50"/>
        <v>2052</v>
      </c>
      <c r="BA113" s="6">
        <f t="shared" si="50"/>
        <v>2053</v>
      </c>
      <c r="BB113" s="6">
        <f t="shared" si="50"/>
        <v>2054</v>
      </c>
      <c r="BC113" s="6">
        <f t="shared" si="50"/>
        <v>2055</v>
      </c>
      <c r="BD113" s="6">
        <f t="shared" si="50"/>
        <v>2056</v>
      </c>
      <c r="BE113" s="6">
        <f t="shared" si="50"/>
        <v>2057</v>
      </c>
      <c r="BF113" s="6">
        <f t="shared" si="50"/>
        <v>2058</v>
      </c>
      <c r="BG113" s="6">
        <f t="shared" si="50"/>
        <v>2059</v>
      </c>
      <c r="BH113" s="6">
        <f t="shared" si="50"/>
        <v>2060</v>
      </c>
      <c r="BI113" s="6">
        <f t="shared" si="50"/>
        <v>2061</v>
      </c>
    </row>
    <row r="114" spans="1:61" s="369" customFormat="1">
      <c r="A114" s="407" t="s">
        <v>242</v>
      </c>
      <c r="B114" s="686" t="s">
        <v>530</v>
      </c>
      <c r="C114" s="681"/>
      <c r="D114" s="681"/>
      <c r="E114" s="681"/>
      <c r="F114" s="681"/>
      <c r="G114" s="681"/>
      <c r="H114" s="681"/>
      <c r="I114" s="681"/>
      <c r="J114" s="681"/>
      <c r="K114" s="681"/>
      <c r="L114" s="681"/>
      <c r="M114" s="681"/>
      <c r="N114" s="681"/>
      <c r="O114" s="681"/>
      <c r="P114" s="687"/>
      <c r="Q114" s="683">
        <f>DATE(2016,12,31)</f>
        <v>42735</v>
      </c>
      <c r="R114" s="683">
        <f>DATE(YEAR(Q114+1),12,31)</f>
        <v>43100</v>
      </c>
      <c r="S114" s="683">
        <f t="shared" ref="S114" si="51">DATE(YEAR(R114+1),12,31)</f>
        <v>43465</v>
      </c>
      <c r="T114" s="683">
        <f>DATE(YEAR(S114+1),12,31)</f>
        <v>43830</v>
      </c>
      <c r="U114" s="683">
        <f t="shared" ref="U114:BI114" si="52">DATE(YEAR(T114+1),12,31)</f>
        <v>44196</v>
      </c>
      <c r="V114" s="683">
        <f t="shared" si="52"/>
        <v>44561</v>
      </c>
      <c r="W114" s="683">
        <f t="shared" si="52"/>
        <v>44926</v>
      </c>
      <c r="X114" s="683">
        <f t="shared" si="52"/>
        <v>45291</v>
      </c>
      <c r="Y114" s="683">
        <f t="shared" si="52"/>
        <v>45657</v>
      </c>
      <c r="Z114" s="683">
        <f t="shared" si="52"/>
        <v>46022</v>
      </c>
      <c r="AA114" s="683">
        <f t="shared" si="52"/>
        <v>46387</v>
      </c>
      <c r="AB114" s="683">
        <f t="shared" si="52"/>
        <v>46752</v>
      </c>
      <c r="AC114" s="683">
        <f t="shared" si="52"/>
        <v>47118</v>
      </c>
      <c r="AD114" s="683">
        <f t="shared" si="52"/>
        <v>47483</v>
      </c>
      <c r="AE114" s="683">
        <f t="shared" si="52"/>
        <v>47848</v>
      </c>
      <c r="AF114" s="683">
        <f t="shared" si="52"/>
        <v>48213</v>
      </c>
      <c r="AG114" s="683">
        <f t="shared" si="52"/>
        <v>48579</v>
      </c>
      <c r="AH114" s="683">
        <f t="shared" si="52"/>
        <v>48944</v>
      </c>
      <c r="AI114" s="683">
        <f t="shared" si="52"/>
        <v>49309</v>
      </c>
      <c r="AJ114" s="683">
        <f t="shared" si="52"/>
        <v>49674</v>
      </c>
      <c r="AK114" s="683">
        <f t="shared" si="52"/>
        <v>50040</v>
      </c>
      <c r="AL114" s="683">
        <f t="shared" si="52"/>
        <v>50405</v>
      </c>
      <c r="AM114" s="683">
        <f t="shared" si="52"/>
        <v>50770</v>
      </c>
      <c r="AN114" s="683">
        <f t="shared" si="52"/>
        <v>51135</v>
      </c>
      <c r="AO114" s="683">
        <f t="shared" si="52"/>
        <v>51501</v>
      </c>
      <c r="AP114" s="683">
        <f t="shared" si="52"/>
        <v>51866</v>
      </c>
      <c r="AQ114" s="683">
        <f t="shared" si="52"/>
        <v>52231</v>
      </c>
      <c r="AR114" s="683">
        <f t="shared" si="52"/>
        <v>52596</v>
      </c>
      <c r="AS114" s="683">
        <f t="shared" si="52"/>
        <v>52962</v>
      </c>
      <c r="AT114" s="683">
        <f t="shared" si="52"/>
        <v>53327</v>
      </c>
      <c r="AU114" s="683">
        <f t="shared" si="52"/>
        <v>53692</v>
      </c>
      <c r="AV114" s="683">
        <f t="shared" si="52"/>
        <v>54057</v>
      </c>
      <c r="AW114" s="683">
        <f t="shared" si="52"/>
        <v>54423</v>
      </c>
      <c r="AX114" s="683">
        <f t="shared" si="52"/>
        <v>54788</v>
      </c>
      <c r="AY114" s="683">
        <f t="shared" si="52"/>
        <v>55153</v>
      </c>
      <c r="AZ114" s="683">
        <f t="shared" si="52"/>
        <v>55518</v>
      </c>
      <c r="BA114" s="683">
        <f t="shared" si="52"/>
        <v>55884</v>
      </c>
      <c r="BB114" s="683">
        <f t="shared" si="52"/>
        <v>56249</v>
      </c>
      <c r="BC114" s="683">
        <f t="shared" si="52"/>
        <v>56614</v>
      </c>
      <c r="BD114" s="683">
        <f t="shared" si="52"/>
        <v>56979</v>
      </c>
      <c r="BE114" s="683">
        <f t="shared" si="52"/>
        <v>57345</v>
      </c>
      <c r="BF114" s="683">
        <f t="shared" si="52"/>
        <v>57710</v>
      </c>
      <c r="BG114" s="683">
        <f t="shared" si="52"/>
        <v>58075</v>
      </c>
      <c r="BH114" s="683">
        <f t="shared" si="52"/>
        <v>58440</v>
      </c>
      <c r="BI114" s="683">
        <f t="shared" si="52"/>
        <v>58806</v>
      </c>
    </row>
    <row r="115" spans="1:61">
      <c r="A115" s="831" t="s">
        <v>89</v>
      </c>
      <c r="B115" s="422" t="s">
        <v>226</v>
      </c>
      <c r="C115" s="428"/>
      <c r="D115" s="428"/>
      <c r="E115" s="428"/>
      <c r="F115" s="428"/>
      <c r="G115" s="428"/>
      <c r="H115" s="428"/>
      <c r="I115" s="428"/>
      <c r="J115" s="428"/>
      <c r="K115" s="428"/>
      <c r="L115" s="428"/>
      <c r="M115" s="428"/>
      <c r="N115" s="428"/>
      <c r="O115" s="428"/>
      <c r="P115" s="429"/>
      <c r="Q115" s="436">
        <f>AVERAGE(U23:U24)*$B$98*$Q$101*$Q$105/100</f>
        <v>4.2585170700945418E-2</v>
      </c>
      <c r="R115" s="433">
        <f>Q115*Indeksacja!R$61</f>
        <v>4.5104824041638902E-2</v>
      </c>
      <c r="S115" s="426">
        <f>R115*Indeksacja!S$61</f>
        <v>4.7807365727383012E-2</v>
      </c>
      <c r="T115" s="426">
        <f>S115*Indeksacja!T$61</f>
        <v>5.07472013282117E-2</v>
      </c>
      <c r="U115" s="426">
        <f>T115*Indeksacja!U$61</f>
        <v>5.1546250053018189E-2</v>
      </c>
      <c r="V115" s="426">
        <f>U115*Indeksacja!V$61</f>
        <v>5.6744569667868651E-2</v>
      </c>
      <c r="W115" s="426">
        <f>V115*Indeksacja!W$61</f>
        <v>5.8560015517819898E-2</v>
      </c>
      <c r="X115" s="426">
        <f>W115*Indeksacja!X$61</f>
        <v>6.015966599774554E-2</v>
      </c>
      <c r="Y115" s="426">
        <f>X115*Indeksacja!Y$61</f>
        <v>6.1715217507980542E-2</v>
      </c>
      <c r="Z115" s="426">
        <f>Y115*Indeksacja!Z$61</f>
        <v>6.3369632250563121E-2</v>
      </c>
      <c r="AA115" s="426">
        <f>Z115*Indeksacja!AA$61</f>
        <v>6.5027046280212594E-2</v>
      </c>
      <c r="AB115" s="426">
        <f>AA115*Indeksacja!AB$61</f>
        <v>6.6737586686073408E-2</v>
      </c>
      <c r="AC115" s="426">
        <f>AB115*Indeksacja!AC$61</f>
        <v>6.8449541556500251E-2</v>
      </c>
      <c r="AD115" s="426">
        <f>AC115*Indeksacja!AD$61</f>
        <v>7.016045724060066E-2</v>
      </c>
      <c r="AE115" s="426">
        <f>AD115*Indeksacja!AE$61</f>
        <v>7.1867724703745292E-2</v>
      </c>
      <c r="AF115" s="426">
        <f>AE115*Indeksacja!AF$61</f>
        <v>7.362792197478793E-2</v>
      </c>
      <c r="AG115" s="426">
        <f>AF115*Indeksacja!AG$61</f>
        <v>7.5383070388030576E-2</v>
      </c>
      <c r="AH115" s="426">
        <f>AG115*Indeksacja!AH$61</f>
        <v>7.7190453723692681E-2</v>
      </c>
      <c r="AI115" s="426">
        <f>AH115*Indeksacja!AI$61</f>
        <v>7.8988851628645579E-2</v>
      </c>
      <c r="AJ115" s="426">
        <f>AI115*Indeksacja!AJ$61</f>
        <v>8.0774351184870613E-2</v>
      </c>
      <c r="AK115" s="426">
        <f>AJ115*Indeksacja!AK$61</f>
        <v>8.2544099799174139E-2</v>
      </c>
      <c r="AL115" s="426">
        <f>AK115*Indeksacja!AL$61</f>
        <v>8.4294193938126094E-2</v>
      </c>
      <c r="AM115" s="426">
        <f>AL115*Indeksacja!AM$61</f>
        <v>8.6020668345667267E-2</v>
      </c>
      <c r="AN115" s="426">
        <f>AM115*Indeksacja!AN$61</f>
        <v>8.7719393983939686E-2</v>
      </c>
      <c r="AO115" s="426">
        <f>AN115*Indeksacja!AO$61</f>
        <v>8.9457267351491593E-2</v>
      </c>
      <c r="AP115" s="426">
        <f>AO115*Indeksacja!AP$61</f>
        <v>9.1090188547714807E-2</v>
      </c>
      <c r="AQ115" s="426">
        <f>AP115*Indeksacja!AQ$61</f>
        <v>9.2757380743718892E-2</v>
      </c>
      <c r="AR115" s="426">
        <f>AQ115*Indeksacja!AR$61</f>
        <v>9.4458921951372413E-2</v>
      </c>
      <c r="AS115" s="426">
        <f>AR115*Indeksacja!AS$61</f>
        <v>9.611968638077649E-2</v>
      </c>
      <c r="AT115" s="426">
        <f>AS115*Indeksacja!AT$61</f>
        <v>9.7736046739530444E-2</v>
      </c>
      <c r="AU115" s="426">
        <f>AT115*Indeksacja!AU$61</f>
        <v>9.9304419559595777E-2</v>
      </c>
      <c r="AV115" s="426">
        <f>AU115*Indeksacja!AV$61</f>
        <v>0.10090145892033811</v>
      </c>
      <c r="AW115" s="426">
        <f>AV115*Indeksacja!AW$61</f>
        <v>0.10252689980573035</v>
      </c>
      <c r="AX115" s="426">
        <f>AW115*Indeksacja!AX$61</f>
        <v>0.10418103346968176</v>
      </c>
      <c r="AY115" s="426">
        <f>AX115*Indeksacja!AY$61</f>
        <v>0.10577989878861492</v>
      </c>
      <c r="AZ115" s="426">
        <f>AY115*Indeksacja!AZ$61</f>
        <v>0.10738918753935102</v>
      </c>
      <c r="BA115" s="426">
        <f>AZ115*Indeksacja!BA$61</f>
        <v>0.10902295929974117</v>
      </c>
      <c r="BB115" s="426">
        <f>BA115*Indeksacja!BB$61</f>
        <v>0.11068158654350174</v>
      </c>
      <c r="BC115" s="426">
        <f>BB115*Indeksacja!BC$61</f>
        <v>0.11236544741100006</v>
      </c>
      <c r="BD115" s="426">
        <f>BC115*Indeksacja!BD$61</f>
        <v>0.11407492579546429</v>
      </c>
      <c r="BE115" s="426">
        <f>BD115*Indeksacja!BE$61</f>
        <v>0.11590212289625583</v>
      </c>
      <c r="BF115" s="426">
        <f>BE115*Indeksacja!BF$61</f>
        <v>0.11775858715827374</v>
      </c>
      <c r="BG115" s="426">
        <f>BF115*Indeksacja!BG$61</f>
        <v>0.11964478736878015</v>
      </c>
      <c r="BH115" s="426">
        <f>BG115*Indeksacja!BH$61</f>
        <v>0.12165738922517542</v>
      </c>
      <c r="BI115" s="426">
        <f>BH115*Indeksacja!BI$61</f>
        <v>0.12370384601433831</v>
      </c>
    </row>
    <row r="116" spans="1:61">
      <c r="A116" s="831"/>
      <c r="B116" s="423" t="s">
        <v>227</v>
      </c>
      <c r="C116" s="430"/>
      <c r="D116" s="430"/>
      <c r="E116" s="430"/>
      <c r="F116" s="430"/>
      <c r="G116" s="430"/>
      <c r="H116" s="430"/>
      <c r="I116" s="430"/>
      <c r="J116" s="430"/>
      <c r="K116" s="430"/>
      <c r="L116" s="430"/>
      <c r="M116" s="430"/>
      <c r="N116" s="430"/>
      <c r="O116" s="430"/>
      <c r="P116" s="431"/>
      <c r="Q116" s="437">
        <f>AVERAGE(U25:U26)*$B$98*$Q$101*$Q$105/100</f>
        <v>7.7556530254363459E-2</v>
      </c>
      <c r="R116" s="434">
        <f>Q116*Indeksacja!R$61</f>
        <v>8.2145347613352321E-2</v>
      </c>
      <c r="S116" s="427">
        <f>R116*Indeksacja!S$61</f>
        <v>8.7067243018821211E-2</v>
      </c>
      <c r="T116" s="427">
        <f>S116*Indeksacja!T$61</f>
        <v>9.2421300428140535E-2</v>
      </c>
      <c r="U116" s="427">
        <f>T116*Indeksacja!U$61</f>
        <v>9.3876535797169799E-2</v>
      </c>
      <c r="V116" s="427">
        <f>U116*Indeksacja!V$61</f>
        <v>0.10334376642804409</v>
      </c>
      <c r="W116" s="427">
        <f>V116*Indeksacja!W$61</f>
        <v>0.10665007420301273</v>
      </c>
      <c r="X116" s="427">
        <f>W116*Indeksacja!X$61</f>
        <v>0.10956337333509783</v>
      </c>
      <c r="Y116" s="427">
        <f>X116*Indeksacja!Y$61</f>
        <v>0.11239635899137192</v>
      </c>
      <c r="Z116" s="427">
        <f>Y116*Indeksacja!Z$61</f>
        <v>0.11540939533534793</v>
      </c>
      <c r="AA116" s="427">
        <f>Z116*Indeksacja!AA$61</f>
        <v>0.11842789401032594</v>
      </c>
      <c r="AB116" s="427">
        <f>AA116*Indeksacja!AB$61</f>
        <v>0.12154314696234735</v>
      </c>
      <c r="AC116" s="427">
        <f>AB116*Indeksacja!AC$61</f>
        <v>0.12466097595109944</v>
      </c>
      <c r="AD116" s="427">
        <f>AC116*Indeksacja!AD$61</f>
        <v>0.12777691236352887</v>
      </c>
      <c r="AE116" s="427">
        <f>AD116*Indeksacja!AE$61</f>
        <v>0.1308862046001977</v>
      </c>
      <c r="AF116" s="427">
        <f>AE116*Indeksacja!AF$61</f>
        <v>0.13409189312177114</v>
      </c>
      <c r="AG116" s="427">
        <f>AF116*Indeksacja!AG$61</f>
        <v>0.13728838661403578</v>
      </c>
      <c r="AH116" s="427">
        <f>AG116*Indeksacja!AH$61</f>
        <v>0.14058001085896099</v>
      </c>
      <c r="AI116" s="427">
        <f>AH116*Indeksacja!AI$61</f>
        <v>0.14385527074941309</v>
      </c>
      <c r="AJ116" s="427">
        <f>AI116*Indeksacja!AJ$61</f>
        <v>0.14710704004074635</v>
      </c>
      <c r="AK116" s="427">
        <f>AJ116*Indeksacja!AK$61</f>
        <v>0.15033012356227846</v>
      </c>
      <c r="AL116" s="427">
        <f>AK116*Indeksacja!AL$61</f>
        <v>0.15351741216066836</v>
      </c>
      <c r="AM116" s="427">
        <f>AL116*Indeksacja!AM$61</f>
        <v>0.15666168427271787</v>
      </c>
      <c r="AN116" s="427">
        <f>AM116*Indeksacja!AN$61</f>
        <v>0.1597554200542117</v>
      </c>
      <c r="AO116" s="427">
        <f>AN116*Indeksacja!AO$61</f>
        <v>0.16292045206395306</v>
      </c>
      <c r="AP116" s="427">
        <f>AO116*Indeksacja!AP$61</f>
        <v>0.16589434415064289</v>
      </c>
      <c r="AQ116" s="427">
        <f>AP116*Indeksacja!AQ$61</f>
        <v>0.16893065091802092</v>
      </c>
      <c r="AR116" s="427">
        <f>AQ116*Indeksacja!AR$61</f>
        <v>0.17202951444206677</v>
      </c>
      <c r="AS116" s="427">
        <f>AR116*Indeksacja!AS$61</f>
        <v>0.17505411489791484</v>
      </c>
      <c r="AT116" s="427">
        <f>AS116*Indeksacja!AT$61</f>
        <v>0.17799784622509421</v>
      </c>
      <c r="AU116" s="427">
        <f>AT116*Indeksacja!AU$61</f>
        <v>0.18085418217649191</v>
      </c>
      <c r="AV116" s="427">
        <f>AU116*Indeksacja!AV$61</f>
        <v>0.18376272591272899</v>
      </c>
      <c r="AW116" s="427">
        <f>AV116*Indeksacja!AW$61</f>
        <v>0.18672299478401952</v>
      </c>
      <c r="AX116" s="427">
        <f>AW116*Indeksacja!AX$61</f>
        <v>0.18973551922483761</v>
      </c>
      <c r="AY116" s="427">
        <f>AX116*Indeksacja!AY$61</f>
        <v>0.1926473884140279</v>
      </c>
      <c r="AZ116" s="427">
        <f>AY116*Indeksacja!AZ$61</f>
        <v>0.19557824085937689</v>
      </c>
      <c r="BA116" s="427">
        <f>AZ116*Indeksacja!BA$61</f>
        <v>0.19855368200186382</v>
      </c>
      <c r="BB116" s="427">
        <f>BA116*Indeksacja!BB$61</f>
        <v>0.20157439019427156</v>
      </c>
      <c r="BC116" s="427">
        <f>BB116*Indeksacja!BC$61</f>
        <v>0.20464105410954317</v>
      </c>
      <c r="BD116" s="427">
        <f>BC116*Indeksacja!BD$61</f>
        <v>0.20775437289778831</v>
      </c>
      <c r="BE116" s="427">
        <f>BD116*Indeksacja!BE$61</f>
        <v>0.21108208216596036</v>
      </c>
      <c r="BF116" s="427">
        <f>BE116*Indeksacja!BF$61</f>
        <v>0.21446309307500294</v>
      </c>
      <c r="BG116" s="427">
        <f>BF116*Indeksacja!BG$61</f>
        <v>0.21789825938487237</v>
      </c>
      <c r="BH116" s="427">
        <f>BG116*Indeksacja!BH$61</f>
        <v>0.22156362961108689</v>
      </c>
      <c r="BI116" s="427">
        <f>BH116*Indeksacja!BI$61</f>
        <v>0.22529065677266724</v>
      </c>
    </row>
    <row r="117" spans="1:61">
      <c r="A117" s="831"/>
      <c r="B117" s="421" t="s">
        <v>245</v>
      </c>
      <c r="C117" s="396"/>
      <c r="D117" s="396"/>
      <c r="E117" s="396"/>
      <c r="F117" s="396"/>
      <c r="G117" s="396"/>
      <c r="H117" s="396"/>
      <c r="I117" s="396"/>
      <c r="J117" s="396"/>
      <c r="K117" s="396"/>
      <c r="L117" s="396"/>
      <c r="M117" s="396"/>
      <c r="N117" s="396"/>
      <c r="O117" s="396"/>
      <c r="P117" s="432"/>
      <c r="Q117" s="393">
        <f>Q115*$B$90+Q116*$B$91</f>
        <v>4.7830874633958124E-2</v>
      </c>
      <c r="R117" s="393">
        <f>R115*$B$90+R116*$B$91</f>
        <v>5.0660902577395917E-2</v>
      </c>
      <c r="S117" s="393">
        <f t="shared" ref="S117:BI117" si="53">S115*$B$90+S116*$B$91</f>
        <v>5.3696347321098736E-2</v>
      </c>
      <c r="T117" s="393">
        <f t="shared" si="53"/>
        <v>5.6998316193201025E-2</v>
      </c>
      <c r="U117" s="393">
        <f t="shared" si="53"/>
        <v>5.7895792914640934E-2</v>
      </c>
      <c r="V117" s="393">
        <f t="shared" si="53"/>
        <v>6.373444918189497E-2</v>
      </c>
      <c r="W117" s="393">
        <f t="shared" si="53"/>
        <v>6.5773524320598825E-2</v>
      </c>
      <c r="X117" s="393">
        <f t="shared" si="53"/>
        <v>6.7570222098348384E-2</v>
      </c>
      <c r="Y117" s="393">
        <f t="shared" si="53"/>
        <v>6.9317388730489246E-2</v>
      </c>
      <c r="Z117" s="393">
        <f t="shared" si="53"/>
        <v>7.1175596713280845E-2</v>
      </c>
      <c r="AA117" s="393">
        <f t="shared" si="53"/>
        <v>7.3037173439729597E-2</v>
      </c>
      <c r="AB117" s="393">
        <f t="shared" si="53"/>
        <v>7.4958420727514491E-2</v>
      </c>
      <c r="AC117" s="393">
        <f t="shared" si="53"/>
        <v>7.6881256715690127E-2</v>
      </c>
      <c r="AD117" s="393">
        <f t="shared" si="53"/>
        <v>7.8802925509039889E-2</v>
      </c>
      <c r="AE117" s="393">
        <f t="shared" si="53"/>
        <v>8.0720496688213156E-2</v>
      </c>
      <c r="AF117" s="393">
        <f t="shared" si="53"/>
        <v>8.2697517646835417E-2</v>
      </c>
      <c r="AG117" s="393">
        <f t="shared" si="53"/>
        <v>8.4668867821931365E-2</v>
      </c>
      <c r="AH117" s="393">
        <f t="shared" si="53"/>
        <v>8.6698887293982924E-2</v>
      </c>
      <c r="AI117" s="393">
        <f t="shared" si="53"/>
        <v>8.8718814496760709E-2</v>
      </c>
      <c r="AJ117" s="393">
        <f t="shared" si="53"/>
        <v>9.0724254513251973E-2</v>
      </c>
      <c r="AK117" s="393">
        <f t="shared" si="53"/>
        <v>9.2712003363639786E-2</v>
      </c>
      <c r="AL117" s="393">
        <f t="shared" si="53"/>
        <v>9.4677676671507421E-2</v>
      </c>
      <c r="AM117" s="393">
        <f t="shared" si="53"/>
        <v>9.6616820734724856E-2</v>
      </c>
      <c r="AN117" s="393">
        <f t="shared" si="53"/>
        <v>9.8524797894480487E-2</v>
      </c>
      <c r="AO117" s="393">
        <f t="shared" si="53"/>
        <v>0.10047674505836082</v>
      </c>
      <c r="AP117" s="393">
        <f t="shared" si="53"/>
        <v>0.10231081188815402</v>
      </c>
      <c r="AQ117" s="393">
        <f t="shared" si="53"/>
        <v>0.1041833712698642</v>
      </c>
      <c r="AR117" s="393">
        <f t="shared" si="53"/>
        <v>0.10609451082497656</v>
      </c>
      <c r="AS117" s="393">
        <f t="shared" si="53"/>
        <v>0.10795985065834723</v>
      </c>
      <c r="AT117" s="393">
        <f t="shared" si="53"/>
        <v>0.10977531666236501</v>
      </c>
      <c r="AU117" s="393">
        <f t="shared" si="53"/>
        <v>0.1115368839521302</v>
      </c>
      <c r="AV117" s="393">
        <f t="shared" si="53"/>
        <v>0.11333064896919674</v>
      </c>
      <c r="AW117" s="393">
        <f t="shared" si="53"/>
        <v>0.11515631405247373</v>
      </c>
      <c r="AX117" s="393">
        <f t="shared" si="53"/>
        <v>0.11701420633295513</v>
      </c>
      <c r="AY117" s="393">
        <f t="shared" si="53"/>
        <v>0.11881002223242687</v>
      </c>
      <c r="AZ117" s="393">
        <f t="shared" si="53"/>
        <v>0.1206175455373549</v>
      </c>
      <c r="BA117" s="393">
        <f t="shared" si="53"/>
        <v>0.12245256770505955</v>
      </c>
      <c r="BB117" s="393">
        <f t="shared" si="53"/>
        <v>0.12431550709111722</v>
      </c>
      <c r="BC117" s="393">
        <f t="shared" si="53"/>
        <v>0.12620678841578153</v>
      </c>
      <c r="BD117" s="393">
        <f t="shared" si="53"/>
        <v>0.12812684286081288</v>
      </c>
      <c r="BE117" s="393">
        <f t="shared" si="53"/>
        <v>0.13017911678671151</v>
      </c>
      <c r="BF117" s="393">
        <f t="shared" si="53"/>
        <v>0.13226426304578312</v>
      </c>
      <c r="BG117" s="393">
        <f t="shared" si="53"/>
        <v>0.134382808171194</v>
      </c>
      <c r="BH117" s="393">
        <f t="shared" si="53"/>
        <v>0.13664332528306214</v>
      </c>
      <c r="BI117" s="393">
        <f t="shared" si="53"/>
        <v>0.13894186762808766</v>
      </c>
    </row>
    <row r="118" spans="1:61">
      <c r="A118" s="831" t="s">
        <v>180</v>
      </c>
      <c r="B118" s="422" t="s">
        <v>226</v>
      </c>
      <c r="C118" s="428"/>
      <c r="D118" s="428"/>
      <c r="E118" s="428"/>
      <c r="F118" s="428"/>
      <c r="G118" s="428"/>
      <c r="H118" s="428"/>
      <c r="I118" s="428"/>
      <c r="J118" s="428"/>
      <c r="K118" s="428"/>
      <c r="L118" s="428"/>
      <c r="M118" s="428"/>
      <c r="N118" s="428"/>
      <c r="O118" s="428"/>
      <c r="P118" s="429"/>
      <c r="Q118" s="436">
        <f>AVERAGE(U27:U28)*$B$98*$Q$101*$Q$105/100</f>
        <v>0.52833949369774647</v>
      </c>
      <c r="R118" s="433">
        <f>Q118*Indeksacja!R$61</f>
        <v>0.5595999617997629</v>
      </c>
      <c r="S118" s="426">
        <f>R118*Indeksacja!S$61</f>
        <v>0.59312946238507813</v>
      </c>
      <c r="T118" s="426">
        <f>S118*Indeksacja!T$61</f>
        <v>0.62960298655629754</v>
      </c>
      <c r="U118" s="426">
        <f>T118*Indeksacja!U$61</f>
        <v>0.63951650790082315</v>
      </c>
      <c r="V118" s="426">
        <f>U118*Indeksacja!V$61</f>
        <v>0.70401026260891886</v>
      </c>
      <c r="W118" s="426">
        <f>V118*Indeksacja!W$61</f>
        <v>0.72653387177640827</v>
      </c>
      <c r="X118" s="426">
        <f>W118*Indeksacja!X$61</f>
        <v>0.74638018237575754</v>
      </c>
      <c r="Y118" s="426">
        <f>X118*Indeksacja!Y$61</f>
        <v>0.76567937230057526</v>
      </c>
      <c r="Z118" s="426">
        <f>Y118*Indeksacja!Z$61</f>
        <v>0.78620512417792443</v>
      </c>
      <c r="AA118" s="426">
        <f>Z118*Indeksacja!AA$61</f>
        <v>0.80676808717323556</v>
      </c>
      <c r="AB118" s="426">
        <f>AA118*Indeksacja!AB$61</f>
        <v>0.82799017075553705</v>
      </c>
      <c r="AC118" s="426">
        <f>AB118*Indeksacja!AC$61</f>
        <v>0.84922980311081198</v>
      </c>
      <c r="AD118" s="426">
        <f>AC118*Indeksacja!AD$61</f>
        <v>0.87045654264052053</v>
      </c>
      <c r="AE118" s="426">
        <f>AD118*Indeksacja!AE$61</f>
        <v>0.89163801995380609</v>
      </c>
      <c r="AF118" s="426">
        <f>AE118*Indeksacja!AF$61</f>
        <v>0.91347617909896073</v>
      </c>
      <c r="AG118" s="426">
        <f>AF118*Indeksacja!AG$61</f>
        <v>0.93525169881048409</v>
      </c>
      <c r="AH118" s="426">
        <f>AG118*Indeksacja!AH$61</f>
        <v>0.95767527914992523</v>
      </c>
      <c r="AI118" s="426">
        <f>AH118*Indeksacja!AI$61</f>
        <v>0.97998738035629196</v>
      </c>
      <c r="AJ118" s="426">
        <f>AI118*Indeksacja!AJ$61</f>
        <v>1.0021394562081927</v>
      </c>
      <c r="AK118" s="426">
        <f>AJ118*Indeksacja!AK$61</f>
        <v>1.0240961155678476</v>
      </c>
      <c r="AL118" s="426">
        <f>AK118*Indeksacja!AL$61</f>
        <v>1.0458089286452117</v>
      </c>
      <c r="AM118" s="426">
        <f>AL118*Indeksacja!AM$61</f>
        <v>1.0672286998789142</v>
      </c>
      <c r="AN118" s="426">
        <f>AM118*Indeksacja!AN$61</f>
        <v>1.0883042017234168</v>
      </c>
      <c r="AO118" s="426">
        <f>AN118*Indeksacja!AO$61</f>
        <v>1.1098653959140223</v>
      </c>
      <c r="AP118" s="426">
        <f>AO118*Indeksacja!AP$61</f>
        <v>1.1301244847907459</v>
      </c>
      <c r="AQ118" s="426">
        <f>AP118*Indeksacja!AQ$61</f>
        <v>1.1508087621162817</v>
      </c>
      <c r="AR118" s="426">
        <f>AQ118*Indeksacja!AR$61</f>
        <v>1.1719191957569188</v>
      </c>
      <c r="AS118" s="426">
        <f>AR118*Indeksacja!AS$61</f>
        <v>1.1925237260039492</v>
      </c>
      <c r="AT118" s="426">
        <f>AS118*Indeksacja!AT$61</f>
        <v>1.2125773502942989</v>
      </c>
      <c r="AU118" s="426">
        <f>AT118*Indeksacja!AU$61</f>
        <v>1.2320356097786089</v>
      </c>
      <c r="AV118" s="426">
        <f>AU118*Indeksacja!AV$61</f>
        <v>1.2518495251247612</v>
      </c>
      <c r="AW118" s="426">
        <f>AV118*Indeksacja!AW$61</f>
        <v>1.2720158083705082</v>
      </c>
      <c r="AX118" s="426">
        <f>AW118*Indeksacja!AX$61</f>
        <v>1.292538073002433</v>
      </c>
      <c r="AY118" s="426">
        <f>AX118*Indeksacja!AY$61</f>
        <v>1.3123746423807323</v>
      </c>
      <c r="AZ118" s="426">
        <f>AY118*Indeksacja!AZ$61</f>
        <v>1.3323405316746435</v>
      </c>
      <c r="BA118" s="426">
        <f>AZ118*Indeksacja!BA$61</f>
        <v>1.3526101732069959</v>
      </c>
      <c r="BB118" s="426">
        <f>BA118*Indeksacja!BB$61</f>
        <v>1.3731881881304466</v>
      </c>
      <c r="BC118" s="426">
        <f>BB118*Indeksacja!BC$61</f>
        <v>1.3940792679018319</v>
      </c>
      <c r="BD118" s="426">
        <f>BC118*Indeksacja!BD$61</f>
        <v>1.4152881753517443</v>
      </c>
      <c r="BE118" s="426">
        <f>BD118*Indeksacja!BE$61</f>
        <v>1.4379575782266931</v>
      </c>
      <c r="BF118" s="426">
        <f>BE118*Indeksacja!BF$61</f>
        <v>1.4609900886550411</v>
      </c>
      <c r="BG118" s="426">
        <f>BF118*Indeksacja!BG$61</f>
        <v>1.4843915227183173</v>
      </c>
      <c r="BH118" s="426">
        <f>BG118*Indeksacja!BH$61</f>
        <v>1.509361178312522</v>
      </c>
      <c r="BI118" s="426">
        <f>BH118*Indeksacja!BI$61</f>
        <v>1.5347508603559155</v>
      </c>
    </row>
    <row r="119" spans="1:61">
      <c r="A119" s="831"/>
      <c r="B119" s="423" t="s">
        <v>227</v>
      </c>
      <c r="C119" s="430"/>
      <c r="D119" s="430"/>
      <c r="E119" s="430"/>
      <c r="F119" s="430"/>
      <c r="G119" s="430"/>
      <c r="H119" s="430"/>
      <c r="I119" s="430"/>
      <c r="J119" s="430"/>
      <c r="K119" s="430"/>
      <c r="L119" s="430"/>
      <c r="M119" s="430"/>
      <c r="N119" s="430"/>
      <c r="O119" s="430"/>
      <c r="P119" s="431"/>
      <c r="Q119" s="437">
        <f>AVERAGE(U29:U30)*$B$98*$Q$101*$Q$105/100</f>
        <v>0.96227846105244452</v>
      </c>
      <c r="R119" s="434">
        <f>Q119*Indeksacja!R$61</f>
        <v>1.0192139646364269</v>
      </c>
      <c r="S119" s="427">
        <f>R119*Indeksacja!S$61</f>
        <v>1.0802821160957843</v>
      </c>
      <c r="T119" s="427">
        <f>S119*Indeksacja!T$61</f>
        <v>1.1467122942810231</v>
      </c>
      <c r="U119" s="427">
        <f>T119*Indeksacja!U$61</f>
        <v>1.1647680485390572</v>
      </c>
      <c r="V119" s="427">
        <f>U119*Indeksacja!V$61</f>
        <v>1.2822322013580099</v>
      </c>
      <c r="W119" s="427">
        <f>V119*Indeksacja!W$61</f>
        <v>1.3232550365342077</v>
      </c>
      <c r="X119" s="427">
        <f>W119*Indeksacja!X$61</f>
        <v>1.3594016381964262</v>
      </c>
      <c r="Y119" s="427">
        <f>X119*Indeksacja!Y$61</f>
        <v>1.3945517547444741</v>
      </c>
      <c r="Z119" s="427">
        <f>Y119*Indeksacja!Z$61</f>
        <v>1.4319358404773863</v>
      </c>
      <c r="AA119" s="427">
        <f>Z119*Indeksacja!AA$61</f>
        <v>1.4693876997872382</v>
      </c>
      <c r="AB119" s="427">
        <f>AA119*Indeksacja!AB$61</f>
        <v>1.5080400325647425</v>
      </c>
      <c r="AC119" s="427">
        <f>AB119*Indeksacja!AC$61</f>
        <v>1.546724327378876</v>
      </c>
      <c r="AD119" s="427">
        <f>AC119*Indeksacja!AD$61</f>
        <v>1.5853851401544858</v>
      </c>
      <c r="AE119" s="427">
        <f>AD119*Indeksacja!AE$61</f>
        <v>1.6239635156781338</v>
      </c>
      <c r="AF119" s="427">
        <f>AE119*Indeksacja!AF$61</f>
        <v>1.6637379229013041</v>
      </c>
      <c r="AG119" s="427">
        <f>AF119*Indeksacja!AG$61</f>
        <v>1.7033982432948602</v>
      </c>
      <c r="AH119" s="427">
        <f>AG119*Indeksacja!AH$61</f>
        <v>1.7442388933649597</v>
      </c>
      <c r="AI119" s="427">
        <f>AH119*Indeksacja!AI$61</f>
        <v>1.7848765035906149</v>
      </c>
      <c r="AJ119" s="427">
        <f>AI119*Indeksacja!AJ$61</f>
        <v>1.825222655476203</v>
      </c>
      <c r="AK119" s="427">
        <f>AJ119*Indeksacja!AK$61</f>
        <v>1.8652128902220246</v>
      </c>
      <c r="AL119" s="427">
        <f>AK119*Indeksacja!AL$61</f>
        <v>1.9047590013918971</v>
      </c>
      <c r="AM119" s="427">
        <f>AL119*Indeksacja!AM$61</f>
        <v>1.9437713878304059</v>
      </c>
      <c r="AN119" s="427">
        <f>AM119*Indeksacja!AN$61</f>
        <v>1.9821567474765238</v>
      </c>
      <c r="AO119" s="427">
        <f>AN119*Indeksacja!AO$61</f>
        <v>2.0214267112246027</v>
      </c>
      <c r="AP119" s="427">
        <f>AO119*Indeksacja!AP$61</f>
        <v>2.0583251166990397</v>
      </c>
      <c r="AQ119" s="427">
        <f>AP119*Indeksacja!AQ$61</f>
        <v>2.0959979289537021</v>
      </c>
      <c r="AR119" s="427">
        <f>AQ119*Indeksacja!AR$61</f>
        <v>2.1344469107886344</v>
      </c>
      <c r="AS119" s="427">
        <f>AR119*Indeksacja!AS$61</f>
        <v>2.1719744776151333</v>
      </c>
      <c r="AT119" s="427">
        <f>AS119*Indeksacja!AT$61</f>
        <v>2.2084986650946354</v>
      </c>
      <c r="AU119" s="427">
        <f>AT119*Indeksacja!AU$61</f>
        <v>2.2439384991685061</v>
      </c>
      <c r="AV119" s="427">
        <f>AU119*Indeksacja!AV$61</f>
        <v>2.2800260985135332</v>
      </c>
      <c r="AW119" s="427">
        <f>AV119*Indeksacja!AW$61</f>
        <v>2.3167554746785615</v>
      </c>
      <c r="AX119" s="427">
        <f>AW119*Indeksacja!AX$61</f>
        <v>2.3541332090006848</v>
      </c>
      <c r="AY119" s="427">
        <f>AX119*Indeksacja!AY$61</f>
        <v>2.3902620687236533</v>
      </c>
      <c r="AZ119" s="427">
        <f>AY119*Indeksacja!AZ$61</f>
        <v>2.426626462172309</v>
      </c>
      <c r="BA119" s="427">
        <f>AZ119*Indeksacja!BA$61</f>
        <v>2.4635440874728989</v>
      </c>
      <c r="BB119" s="427">
        <f>BA119*Indeksacja!BB$61</f>
        <v>2.5010233612509456</v>
      </c>
      <c r="BC119" s="427">
        <f>BB119*Indeksacja!BC$61</f>
        <v>2.5390728281788011</v>
      </c>
      <c r="BD119" s="427">
        <f>BC119*Indeksacja!BD$61</f>
        <v>2.577701162923697</v>
      </c>
      <c r="BE119" s="427">
        <f>BD119*Indeksacja!BE$61</f>
        <v>2.6189895359711284</v>
      </c>
      <c r="BF119" s="427">
        <f>BE119*Indeksacja!BF$61</f>
        <v>2.6609392462493542</v>
      </c>
      <c r="BG119" s="427">
        <f>BF119*Indeksacja!BG$61</f>
        <v>2.7035608867389298</v>
      </c>
      <c r="BH119" s="427">
        <f>BG119*Indeksacja!BH$61</f>
        <v>2.7490387698894687</v>
      </c>
      <c r="BI119" s="427">
        <f>BH119*Indeksacja!BI$61</f>
        <v>2.795281658136064</v>
      </c>
    </row>
    <row r="120" spans="1:61">
      <c r="A120" s="831"/>
      <c r="B120" s="421" t="s">
        <v>245</v>
      </c>
      <c r="C120" s="396"/>
      <c r="D120" s="396"/>
      <c r="E120" s="396"/>
      <c r="F120" s="396"/>
      <c r="G120" s="396"/>
      <c r="H120" s="396"/>
      <c r="I120" s="396"/>
      <c r="J120" s="396"/>
      <c r="K120" s="396"/>
      <c r="L120" s="396"/>
      <c r="M120" s="396"/>
      <c r="N120" s="396"/>
      <c r="O120" s="396"/>
      <c r="P120" s="432"/>
      <c r="Q120" s="393">
        <f>Q118*$B$90+Q119*$B$91</f>
        <v>0.5934303388009512</v>
      </c>
      <c r="R120" s="393">
        <f>R118*$B$90+R119*$B$91</f>
        <v>0.62854206222526243</v>
      </c>
      <c r="S120" s="393">
        <f t="shared" ref="S120:BI120" si="54">S118*$B$90+S119*$B$91</f>
        <v>0.66620236044168413</v>
      </c>
      <c r="T120" s="393">
        <f t="shared" si="54"/>
        <v>0.7071693827150064</v>
      </c>
      <c r="U120" s="393">
        <f t="shared" si="54"/>
        <v>0.71830423899655826</v>
      </c>
      <c r="V120" s="393">
        <f t="shared" si="54"/>
        <v>0.79074355342128255</v>
      </c>
      <c r="W120" s="393">
        <f t="shared" si="54"/>
        <v>0.81604204649007817</v>
      </c>
      <c r="X120" s="393">
        <f t="shared" si="54"/>
        <v>0.83833340074885787</v>
      </c>
      <c r="Y120" s="393">
        <f t="shared" si="54"/>
        <v>0.86001022966716012</v>
      </c>
      <c r="Z120" s="393">
        <f t="shared" si="54"/>
        <v>0.88306473162284371</v>
      </c>
      <c r="AA120" s="393">
        <f t="shared" si="54"/>
        <v>0.90616102906533591</v>
      </c>
      <c r="AB120" s="393">
        <f t="shared" si="54"/>
        <v>0.92999765002691792</v>
      </c>
      <c r="AC120" s="393">
        <f t="shared" si="54"/>
        <v>0.95385398175102165</v>
      </c>
      <c r="AD120" s="393">
        <f t="shared" si="54"/>
        <v>0.97769583226761525</v>
      </c>
      <c r="AE120" s="393">
        <f t="shared" si="54"/>
        <v>1.0014868443124552</v>
      </c>
      <c r="AF120" s="393">
        <f t="shared" si="54"/>
        <v>1.0260154406693123</v>
      </c>
      <c r="AG120" s="393">
        <f t="shared" si="54"/>
        <v>1.0504736804831405</v>
      </c>
      <c r="AH120" s="393">
        <f t="shared" si="54"/>
        <v>1.0756598212821804</v>
      </c>
      <c r="AI120" s="393">
        <f t="shared" si="54"/>
        <v>1.1007207488414403</v>
      </c>
      <c r="AJ120" s="393">
        <f t="shared" si="54"/>
        <v>1.1256019360983942</v>
      </c>
      <c r="AK120" s="393">
        <f t="shared" si="54"/>
        <v>1.150263631765974</v>
      </c>
      <c r="AL120" s="393">
        <f t="shared" si="54"/>
        <v>1.1746514395572145</v>
      </c>
      <c r="AM120" s="393">
        <f t="shared" si="54"/>
        <v>1.1987101030716381</v>
      </c>
      <c r="AN120" s="393">
        <f t="shared" si="54"/>
        <v>1.2223820835863828</v>
      </c>
      <c r="AO120" s="393">
        <f t="shared" si="54"/>
        <v>1.2465995932106093</v>
      </c>
      <c r="AP120" s="393">
        <f t="shared" si="54"/>
        <v>1.26935457957699</v>
      </c>
      <c r="AQ120" s="393">
        <f t="shared" si="54"/>
        <v>1.2925871371418947</v>
      </c>
      <c r="AR120" s="393">
        <f t="shared" si="54"/>
        <v>1.3162983530116761</v>
      </c>
      <c r="AS120" s="393">
        <f t="shared" si="54"/>
        <v>1.339441338745627</v>
      </c>
      <c r="AT120" s="393">
        <f t="shared" si="54"/>
        <v>1.3619655475143495</v>
      </c>
      <c r="AU120" s="393">
        <f t="shared" si="54"/>
        <v>1.3838210431870934</v>
      </c>
      <c r="AV120" s="393">
        <f t="shared" si="54"/>
        <v>1.406076011133077</v>
      </c>
      <c r="AW120" s="393">
        <f t="shared" si="54"/>
        <v>1.4287267583167162</v>
      </c>
      <c r="AX120" s="393">
        <f t="shared" si="54"/>
        <v>1.4517773434021706</v>
      </c>
      <c r="AY120" s="393">
        <f t="shared" si="54"/>
        <v>1.4740577563321706</v>
      </c>
      <c r="AZ120" s="393">
        <f t="shared" si="54"/>
        <v>1.4964834212492935</v>
      </c>
      <c r="BA120" s="393">
        <f t="shared" si="54"/>
        <v>1.5192502603468816</v>
      </c>
      <c r="BB120" s="393">
        <f t="shared" si="54"/>
        <v>1.5423634640985215</v>
      </c>
      <c r="BC120" s="393">
        <f t="shared" si="54"/>
        <v>1.5658283019433772</v>
      </c>
      <c r="BD120" s="393">
        <f t="shared" si="54"/>
        <v>1.5896501234875373</v>
      </c>
      <c r="BE120" s="393">
        <f t="shared" si="54"/>
        <v>1.6151123718883582</v>
      </c>
      <c r="BF120" s="393">
        <f t="shared" si="54"/>
        <v>1.640982462294188</v>
      </c>
      <c r="BG120" s="393">
        <f t="shared" si="54"/>
        <v>1.6672669273214091</v>
      </c>
      <c r="BH120" s="393">
        <f t="shared" si="54"/>
        <v>1.6953128170490641</v>
      </c>
      <c r="BI120" s="393">
        <f t="shared" si="54"/>
        <v>1.7238304800229376</v>
      </c>
    </row>
    <row r="121" spans="1:61">
      <c r="A121" s="831" t="s">
        <v>783</v>
      </c>
      <c r="B121" s="422" t="s">
        <v>226</v>
      </c>
      <c r="C121" s="428"/>
      <c r="D121" s="428"/>
      <c r="E121" s="428"/>
      <c r="F121" s="428"/>
      <c r="G121" s="428"/>
      <c r="H121" s="428"/>
      <c r="I121" s="428"/>
      <c r="J121" s="428"/>
      <c r="K121" s="428"/>
      <c r="L121" s="428"/>
      <c r="M121" s="428"/>
      <c r="N121" s="428"/>
      <c r="O121" s="428"/>
      <c r="P121" s="429"/>
      <c r="Q121" s="436">
        <f>AVERAGE(U31:U32)*$B$98*$Q$101*$Q$105/100</f>
        <v>0.3336584305547089</v>
      </c>
      <c r="R121" s="433">
        <f>Q121*Indeksacja!R$61</f>
        <v>0.35340012855332825</v>
      </c>
      <c r="S121" s="426">
        <f>R121*Indeksacja!S$61</f>
        <v>0.37457477227394242</v>
      </c>
      <c r="T121" s="426">
        <f>S121*Indeksacja!T$61</f>
        <v>0.39760863398016266</v>
      </c>
      <c r="U121" s="426">
        <f>T121*Indeksacja!U$61</f>
        <v>0.40386924862764029</v>
      </c>
      <c r="V121" s="426">
        <f>U121*Indeksacja!V$61</f>
        <v>0.44459852446859066</v>
      </c>
      <c r="W121" s="426">
        <f>V121*Indeksacja!W$61</f>
        <v>0.45882269694650785</v>
      </c>
      <c r="X121" s="426">
        <f>W121*Indeksacja!X$61</f>
        <v>0.47135609436591108</v>
      </c>
      <c r="Y121" s="426">
        <f>X121*Indeksacja!Y$61</f>
        <v>0.4835439726110603</v>
      </c>
      <c r="Z121" s="426">
        <f>Y121*Indeksacja!Z$61</f>
        <v>0.49650645268125104</v>
      </c>
      <c r="AA121" s="426">
        <f>Z121*Indeksacja!AA$61</f>
        <v>0.50949243242043574</v>
      </c>
      <c r="AB121" s="426">
        <f>AA121*Indeksacja!AB$61</f>
        <v>0.5228946618309489</v>
      </c>
      <c r="AC121" s="426">
        <f>AB121*Indeksacja!AC$61</f>
        <v>0.53630797369151229</v>
      </c>
      <c r="AD121" s="426">
        <f>AC121*Indeksacja!AD$61</f>
        <v>0.54971314343891697</v>
      </c>
      <c r="AE121" s="426">
        <f>AD121*Indeksacja!AE$61</f>
        <v>0.56308972906517374</v>
      </c>
      <c r="AF121" s="426">
        <f>AE121*Indeksacja!AF$61</f>
        <v>0.57688102423332321</v>
      </c>
      <c r="AG121" s="426">
        <f>AF121*Indeksacja!AG$61</f>
        <v>0.59063276117164965</v>
      </c>
      <c r="AH121" s="426">
        <f>AG121*Indeksacja!AH$61</f>
        <v>0.60479376316510569</v>
      </c>
      <c r="AI121" s="426">
        <f>AH121*Indeksacja!AI$61</f>
        <v>0.61888436354553666</v>
      </c>
      <c r="AJ121" s="426">
        <f>AI121*Indeksacja!AJ$61</f>
        <v>0.63287390426781787</v>
      </c>
      <c r="AK121" s="426">
        <f>AJ121*Indeksacja!AK$61</f>
        <v>0.64674003502191568</v>
      </c>
      <c r="AL121" s="426">
        <f>AK121*Indeksacja!AL$61</f>
        <v>0.66045217129175426</v>
      </c>
      <c r="AM121" s="426">
        <f>AL121*Indeksacja!AM$61</f>
        <v>0.67397924495921446</v>
      </c>
      <c r="AN121" s="426">
        <f>AM121*Indeksacja!AN$61</f>
        <v>0.68728890466186865</v>
      </c>
      <c r="AO121" s="426">
        <f>AN121*Indeksacja!AO$61</f>
        <v>0.7009052901494891</v>
      </c>
      <c r="AP121" s="426">
        <f>AO121*Indeksacja!AP$61</f>
        <v>0.71369936645782384</v>
      </c>
      <c r="AQ121" s="426">
        <f>AP121*Indeksacja!AQ$61</f>
        <v>0.72676195896116758</v>
      </c>
      <c r="AR121" s="426">
        <f>AQ121*Indeksacja!AR$61</f>
        <v>0.74009367888913846</v>
      </c>
      <c r="AS121" s="426">
        <f>AR121*Indeksacja!AS$61</f>
        <v>0.7531059092950565</v>
      </c>
      <c r="AT121" s="426">
        <f>AS121*Indeksacja!AT$61</f>
        <v>0.76577023003478095</v>
      </c>
      <c r="AU121" s="426">
        <f>AT121*Indeksacja!AU$61</f>
        <v>0.77805856433177245</v>
      </c>
      <c r="AV121" s="426">
        <f>AU121*Indeksacja!AV$61</f>
        <v>0.79057150341052906</v>
      </c>
      <c r="AW121" s="426">
        <f>AV121*Indeksacja!AW$61</f>
        <v>0.80330697084796232</v>
      </c>
      <c r="AX121" s="426">
        <f>AW121*Indeksacja!AX$61</f>
        <v>0.816267248643197</v>
      </c>
      <c r="AY121" s="426">
        <f>AX121*Indeksacja!AY$61</f>
        <v>0.82879449425951546</v>
      </c>
      <c r="AZ121" s="426">
        <f>AY121*Indeksacja!AZ$61</f>
        <v>0.84140340834960348</v>
      </c>
      <c r="BA121" s="426">
        <f>AZ121*Indeksacja!BA$61</f>
        <v>0.85420414890045149</v>
      </c>
      <c r="BB121" s="426">
        <f>BA121*Indeksacja!BB$61</f>
        <v>0.86719963427527347</v>
      </c>
      <c r="BC121" s="426">
        <f>BB121*Indeksacja!BC$61</f>
        <v>0.88039282723597478</v>
      </c>
      <c r="BD121" s="426">
        <f>BC121*Indeksacja!BD$61</f>
        <v>0.89378673561861444</v>
      </c>
      <c r="BE121" s="426">
        <f>BD121*Indeksacja!BE$61</f>
        <v>0.9081029801452728</v>
      </c>
      <c r="BF121" s="426">
        <f>BE121*Indeksacja!BF$61</f>
        <v>0.92264853536673042</v>
      </c>
      <c r="BG121" s="426">
        <f>BF121*Indeksacja!BG$61</f>
        <v>0.93742707427101513</v>
      </c>
      <c r="BH121" s="426">
        <f>BG121*Indeksacja!BH$61</f>
        <v>0.95319598081015067</v>
      </c>
      <c r="BI121" s="426">
        <f>BH121*Indeksacja!BI$61</f>
        <v>0.96923014362389659</v>
      </c>
    </row>
    <row r="122" spans="1:61">
      <c r="A122" s="831"/>
      <c r="B122" s="423" t="s">
        <v>227</v>
      </c>
      <c r="C122" s="430"/>
      <c r="D122" s="430"/>
      <c r="E122" s="430"/>
      <c r="F122" s="430"/>
      <c r="G122" s="430"/>
      <c r="H122" s="430"/>
      <c r="I122" s="430"/>
      <c r="J122" s="430"/>
      <c r="K122" s="430"/>
      <c r="L122" s="430"/>
      <c r="M122" s="430"/>
      <c r="N122" s="430"/>
      <c r="O122" s="430"/>
      <c r="P122" s="431"/>
      <c r="Q122" s="437">
        <f>AVERAGE(U33:U34)*$B$98*$Q$101*$Q$105/100</f>
        <v>0.60770397104324092</v>
      </c>
      <c r="R122" s="434">
        <f>Q122*Indeksacja!R$61</f>
        <v>0.64366022801223799</v>
      </c>
      <c r="S122" s="427">
        <f>R122*Indeksacja!S$61</f>
        <v>0.68222636000851367</v>
      </c>
      <c r="T122" s="427">
        <f>S122*Indeksacja!T$61</f>
        <v>0.7241787518724313</v>
      </c>
      <c r="U122" s="427">
        <f>T122*Indeksacja!U$61</f>
        <v>0.73558143208080629</v>
      </c>
      <c r="V122" s="427">
        <f>U122*Indeksacja!V$61</f>
        <v>0.80976311130621004</v>
      </c>
      <c r="W122" s="427">
        <f>V122*Indeksacja!W$61</f>
        <v>0.83567010273233222</v>
      </c>
      <c r="X122" s="427">
        <f>W122*Indeksacja!X$61</f>
        <v>0.85849762538707775</v>
      </c>
      <c r="Y122" s="427">
        <f>X122*Indeksacja!Y$61</f>
        <v>0.88069584167627857</v>
      </c>
      <c r="Z122" s="427">
        <f>Y122*Indeksacja!Z$61</f>
        <v>0.90430486782954456</v>
      </c>
      <c r="AA122" s="427">
        <f>Z122*Indeksacja!AA$61</f>
        <v>0.92795669476606091</v>
      </c>
      <c r="AB122" s="427">
        <f>AA122*Indeksacja!AB$61</f>
        <v>0.95236665203901505</v>
      </c>
      <c r="AC122" s="427">
        <f>AB122*Indeksacja!AC$61</f>
        <v>0.97679679417255616</v>
      </c>
      <c r="AD122" s="427">
        <f>AC122*Indeksacja!AD$61</f>
        <v>1.0012121067857072</v>
      </c>
      <c r="AE122" s="427">
        <f>AD122*Indeksacja!AE$61</f>
        <v>1.0255753581219964</v>
      </c>
      <c r="AF122" s="427">
        <f>AE122*Indeksacja!AF$61</f>
        <v>1.0506939347021846</v>
      </c>
      <c r="AG122" s="427">
        <f>AF122*Indeksacja!AG$61</f>
        <v>1.0757404624709255</v>
      </c>
      <c r="AH122" s="427">
        <f>AG122*Indeksacja!AH$61</f>
        <v>1.1015323992461103</v>
      </c>
      <c r="AI122" s="427">
        <f>AH122*Indeksacja!AI$61</f>
        <v>1.1271961110586228</v>
      </c>
      <c r="AJ122" s="427">
        <f>AI122*Indeksacja!AJ$61</f>
        <v>1.1526757593200727</v>
      </c>
      <c r="AK122" s="427">
        <f>AJ122*Indeksacja!AK$61</f>
        <v>1.177930636615578</v>
      </c>
      <c r="AL122" s="427">
        <f>AK122*Indeksacja!AL$61</f>
        <v>1.202905038277821</v>
      </c>
      <c r="AM122" s="427">
        <f>AL122*Indeksacja!AM$61</f>
        <v>1.2275423788378768</v>
      </c>
      <c r="AN122" s="427">
        <f>AM122*Indeksacja!AN$61</f>
        <v>1.2517837356083028</v>
      </c>
      <c r="AO122" s="427">
        <f>AN122*Indeksacja!AO$61</f>
        <v>1.276583742964106</v>
      </c>
      <c r="AP122" s="427">
        <f>AO122*Indeksacja!AP$61</f>
        <v>1.2998860493541446</v>
      </c>
      <c r="AQ122" s="427">
        <f>AP122*Indeksacja!AQ$61</f>
        <v>1.3236774138438845</v>
      </c>
      <c r="AR122" s="427">
        <f>AQ122*Indeksacja!AR$61</f>
        <v>1.3479589496875766</v>
      </c>
      <c r="AS122" s="427">
        <f>AR122*Indeksacja!AS$61</f>
        <v>1.3716585878974057</v>
      </c>
      <c r="AT122" s="427">
        <f>AS122*Indeksacja!AT$61</f>
        <v>1.3947245658536676</v>
      </c>
      <c r="AU122" s="427">
        <f>AT122*Indeksacja!AU$61</f>
        <v>1.4171057463242869</v>
      </c>
      <c r="AV122" s="427">
        <f>AU122*Indeksacja!AV$61</f>
        <v>1.4398960074753107</v>
      </c>
      <c r="AW122" s="427">
        <f>AV122*Indeksacja!AW$61</f>
        <v>1.4630915674434892</v>
      </c>
      <c r="AX122" s="427">
        <f>AW122*Indeksacja!AX$61</f>
        <v>1.4866965825150213</v>
      </c>
      <c r="AY122" s="427">
        <f>AX122*Indeksacja!AY$61</f>
        <v>1.509512900671929</v>
      </c>
      <c r="AZ122" s="427">
        <f>AY122*Indeksacja!AZ$61</f>
        <v>1.5324779645258548</v>
      </c>
      <c r="BA122" s="427">
        <f>AZ122*Indeksacja!BA$61</f>
        <v>1.5557924087378949</v>
      </c>
      <c r="BB122" s="427">
        <f>BA122*Indeksacja!BB$61</f>
        <v>1.5794615486268053</v>
      </c>
      <c r="BC122" s="427">
        <f>BB122*Indeksacja!BC$61</f>
        <v>1.6034907803762586</v>
      </c>
      <c r="BD122" s="427">
        <f>BC122*Indeksacja!BD$61</f>
        <v>1.6278855822650868</v>
      </c>
      <c r="BE122" s="427">
        <f>BD122*Indeksacja!BE$61</f>
        <v>1.6539602677894794</v>
      </c>
      <c r="BF122" s="427">
        <f>BE122*Indeksacja!BF$61</f>
        <v>1.6804526050411204</v>
      </c>
      <c r="BG122" s="427">
        <f>BF122*Indeksacja!BG$61</f>
        <v>1.7073692837637888</v>
      </c>
      <c r="BH122" s="427">
        <f>BG122*Indeksacja!BH$61</f>
        <v>1.7360897542968154</v>
      </c>
      <c r="BI122" s="427">
        <f>BH122*Indeksacja!BI$61</f>
        <v>1.7652933455205342</v>
      </c>
    </row>
    <row r="123" spans="1:61">
      <c r="A123" s="831"/>
      <c r="B123" s="421" t="s">
        <v>245</v>
      </c>
      <c r="C123" s="396"/>
      <c r="D123" s="396"/>
      <c r="E123" s="396"/>
      <c r="F123" s="396"/>
      <c r="G123" s="396"/>
      <c r="H123" s="396"/>
      <c r="I123" s="396"/>
      <c r="J123" s="396"/>
      <c r="K123" s="396"/>
      <c r="L123" s="396"/>
      <c r="M123" s="396"/>
      <c r="N123" s="396"/>
      <c r="O123" s="396"/>
      <c r="P123" s="432"/>
      <c r="Q123" s="393">
        <f>Q121*$B$90+Q122*$B$91</f>
        <v>0.37476526162798873</v>
      </c>
      <c r="R123" s="393">
        <f>R121*$B$90+R122*$B$91</f>
        <v>0.39693914347216469</v>
      </c>
      <c r="S123" s="393">
        <f t="shared" ref="S123:BI123" si="55">S121*$B$90+S122*$B$91</f>
        <v>0.42072251043412812</v>
      </c>
      <c r="T123" s="393">
        <f t="shared" si="55"/>
        <v>0.44659415166400296</v>
      </c>
      <c r="U123" s="393">
        <f t="shared" si="55"/>
        <v>0.45362607614561518</v>
      </c>
      <c r="V123" s="393">
        <f t="shared" si="55"/>
        <v>0.49937321249423355</v>
      </c>
      <c r="W123" s="393">
        <f t="shared" si="55"/>
        <v>0.51534980781438156</v>
      </c>
      <c r="X123" s="393">
        <f t="shared" si="55"/>
        <v>0.5294273240190861</v>
      </c>
      <c r="Y123" s="393">
        <f t="shared" si="55"/>
        <v>0.54311675297084305</v>
      </c>
      <c r="Z123" s="393">
        <f t="shared" si="55"/>
        <v>0.55767621495349506</v>
      </c>
      <c r="AA123" s="393">
        <f t="shared" si="55"/>
        <v>0.5722620717722795</v>
      </c>
      <c r="AB123" s="393">
        <f t="shared" si="55"/>
        <v>0.58731546036215887</v>
      </c>
      <c r="AC123" s="393">
        <f t="shared" si="55"/>
        <v>0.60238129676366881</v>
      </c>
      <c r="AD123" s="393">
        <f t="shared" si="55"/>
        <v>0.61743798794093552</v>
      </c>
      <c r="AE123" s="393">
        <f t="shared" si="55"/>
        <v>0.63246257342369716</v>
      </c>
      <c r="AF123" s="393">
        <f t="shared" si="55"/>
        <v>0.6479529608036525</v>
      </c>
      <c r="AG123" s="393">
        <f t="shared" si="55"/>
        <v>0.66339891636654102</v>
      </c>
      <c r="AH123" s="393">
        <f t="shared" si="55"/>
        <v>0.67930455857725636</v>
      </c>
      <c r="AI123" s="393">
        <f t="shared" si="55"/>
        <v>0.69513112567249957</v>
      </c>
      <c r="AJ123" s="393">
        <f t="shared" si="55"/>
        <v>0.71084418252565607</v>
      </c>
      <c r="AK123" s="393">
        <f t="shared" si="55"/>
        <v>0.72641862526096512</v>
      </c>
      <c r="AL123" s="393">
        <f t="shared" si="55"/>
        <v>0.74182010133966425</v>
      </c>
      <c r="AM123" s="393">
        <f t="shared" si="55"/>
        <v>0.75701371504101389</v>
      </c>
      <c r="AN123" s="393">
        <f t="shared" si="55"/>
        <v>0.77196312930383371</v>
      </c>
      <c r="AO123" s="393">
        <f t="shared" si="55"/>
        <v>0.78725705807168156</v>
      </c>
      <c r="AP123" s="393">
        <f t="shared" si="55"/>
        <v>0.80162736889227204</v>
      </c>
      <c r="AQ123" s="393">
        <f t="shared" si="55"/>
        <v>0.81629927719357509</v>
      </c>
      <c r="AR123" s="393">
        <f t="shared" si="55"/>
        <v>0.83127346950890424</v>
      </c>
      <c r="AS123" s="393">
        <f t="shared" si="55"/>
        <v>0.84588881108540881</v>
      </c>
      <c r="AT123" s="393">
        <f t="shared" si="55"/>
        <v>0.86011338040761398</v>
      </c>
      <c r="AU123" s="393">
        <f t="shared" si="55"/>
        <v>0.87391564163064972</v>
      </c>
      <c r="AV123" s="393">
        <f t="shared" si="55"/>
        <v>0.88797017902024633</v>
      </c>
      <c r="AW123" s="393">
        <f t="shared" si="55"/>
        <v>0.90227466033729131</v>
      </c>
      <c r="AX123" s="393">
        <f t="shared" si="55"/>
        <v>0.9168316487239706</v>
      </c>
      <c r="AY123" s="393">
        <f t="shared" si="55"/>
        <v>0.93090225522137748</v>
      </c>
      <c r="AZ123" s="393">
        <f t="shared" si="55"/>
        <v>0.94506459177604119</v>
      </c>
      <c r="BA123" s="393">
        <f t="shared" si="55"/>
        <v>0.95944238787606795</v>
      </c>
      <c r="BB123" s="393">
        <f t="shared" si="55"/>
        <v>0.97403892142800319</v>
      </c>
      <c r="BC123" s="393">
        <f t="shared" si="55"/>
        <v>0.98885752020701734</v>
      </c>
      <c r="BD123" s="393">
        <f t="shared" si="55"/>
        <v>1.0039015626155854</v>
      </c>
      <c r="BE123" s="393">
        <f t="shared" si="55"/>
        <v>1.0199815732919038</v>
      </c>
      <c r="BF123" s="393">
        <f t="shared" si="55"/>
        <v>1.0363191458178891</v>
      </c>
      <c r="BG123" s="393">
        <f t="shared" si="55"/>
        <v>1.0529184056949312</v>
      </c>
      <c r="BH123" s="393">
        <f t="shared" si="55"/>
        <v>1.0706300468331504</v>
      </c>
      <c r="BI123" s="393">
        <f t="shared" si="55"/>
        <v>1.0886396239083922</v>
      </c>
    </row>
    <row r="124" spans="1:61">
      <c r="A124" s="831" t="s">
        <v>192</v>
      </c>
      <c r="B124" s="422" t="s">
        <v>226</v>
      </c>
      <c r="C124" s="428"/>
      <c r="D124" s="428"/>
      <c r="E124" s="428"/>
      <c r="F124" s="428"/>
      <c r="G124" s="428"/>
      <c r="H124" s="428"/>
      <c r="I124" s="428"/>
      <c r="J124" s="428"/>
      <c r="K124" s="428"/>
      <c r="L124" s="428"/>
      <c r="M124" s="428"/>
      <c r="N124" s="428"/>
      <c r="O124" s="428"/>
      <c r="P124" s="429"/>
      <c r="Q124" s="436">
        <f>AVERAGE(U35:U36)*$B$98*$Q$101*$Q$105/100</f>
        <v>9.6531666046056147E-2</v>
      </c>
      <c r="R124" s="433">
        <f>Q124*Indeksacja!R$61</f>
        <v>0.10224319263693707</v>
      </c>
      <c r="S124" s="426">
        <f>R124*Indeksacja!S$61</f>
        <v>0.10836928881524838</v>
      </c>
      <c r="T124" s="426">
        <f>S124*Indeksacja!T$61</f>
        <v>0.11503328061752149</v>
      </c>
      <c r="U124" s="426">
        <f>T124*Indeksacja!U$61</f>
        <v>0.11684455678215677</v>
      </c>
      <c r="V124" s="426">
        <f>U124*Indeksacja!V$61</f>
        <v>0.12862805899200627</v>
      </c>
      <c r="W124" s="426">
        <f>V124*Indeksacja!W$61</f>
        <v>0.132743294639243</v>
      </c>
      <c r="X124" s="426">
        <f>W124*Indeksacja!X$61</f>
        <v>0.13636936736307895</v>
      </c>
      <c r="Y124" s="426">
        <f>X124*Indeksacja!Y$61</f>
        <v>0.13989547695549887</v>
      </c>
      <c r="Z124" s="426">
        <f>Y124*Indeksacja!Z$61</f>
        <v>0.14364568879694414</v>
      </c>
      <c r="AA124" s="426">
        <f>Z124*Indeksacja!AA$61</f>
        <v>0.14740269939421807</v>
      </c>
      <c r="AB124" s="426">
        <f>AA124*Indeksacja!AB$61</f>
        <v>0.15128013636344867</v>
      </c>
      <c r="AC124" s="426">
        <f>AB124*Indeksacja!AC$61</f>
        <v>0.15516077962770813</v>
      </c>
      <c r="AD124" s="426">
        <f>AC124*Indeksacja!AD$61</f>
        <v>0.159039067274137</v>
      </c>
      <c r="AE124" s="426">
        <f>AD124*Indeksacja!AE$61</f>
        <v>0.16290908516747649</v>
      </c>
      <c r="AF124" s="426">
        <f>AE124*Indeksacja!AF$61</f>
        <v>0.16689908385356125</v>
      </c>
      <c r="AG124" s="426">
        <f>AF124*Indeksacja!AG$61</f>
        <v>0.17087763783607807</v>
      </c>
      <c r="AH124" s="426">
        <f>AG124*Indeksacja!AH$61</f>
        <v>0.17497459745144645</v>
      </c>
      <c r="AI124" s="426">
        <f>AH124*Indeksacja!AI$61</f>
        <v>0.17905118897665045</v>
      </c>
      <c r="AJ124" s="426">
        <f>AI124*Indeksacja!AJ$61</f>
        <v>0.18309854264577805</v>
      </c>
      <c r="AK124" s="426">
        <f>AJ124*Indeksacja!AK$61</f>
        <v>0.18711019222729836</v>
      </c>
      <c r="AL124" s="426">
        <f>AK124*Indeksacja!AL$61</f>
        <v>0.19107728922819683</v>
      </c>
      <c r="AM124" s="426">
        <f>AL124*Indeksacja!AM$61</f>
        <v>0.19499084524318133</v>
      </c>
      <c r="AN124" s="426">
        <f>AM124*Indeksacja!AN$61</f>
        <v>0.19884150060791247</v>
      </c>
      <c r="AO124" s="426">
        <f>AN124*Indeksacja!AO$61</f>
        <v>0.2027808956786743</v>
      </c>
      <c r="AP124" s="426">
        <f>AO124*Indeksacja!AP$61</f>
        <v>0.206482386150564</v>
      </c>
      <c r="AQ124" s="426">
        <f>AP124*Indeksacja!AQ$61</f>
        <v>0.21026156180373767</v>
      </c>
      <c r="AR124" s="426">
        <f>AQ124*Indeksacja!AR$61</f>
        <v>0.21411859947476822</v>
      </c>
      <c r="AS124" s="426">
        <f>AR124*Indeksacja!AS$61</f>
        <v>0.2178832047268224</v>
      </c>
      <c r="AT124" s="426">
        <f>AS124*Indeksacja!AT$61</f>
        <v>0.22154715524746352</v>
      </c>
      <c r="AU124" s="426">
        <f>AT124*Indeksacja!AU$61</f>
        <v>0.22510232806490857</v>
      </c>
      <c r="AV124" s="426">
        <f>AU124*Indeksacja!AV$61</f>
        <v>0.22872248192823835</v>
      </c>
      <c r="AW124" s="426">
        <f>AV124*Indeksacja!AW$61</f>
        <v>0.23240701610160508</v>
      </c>
      <c r="AX124" s="426">
        <f>AW124*Indeksacja!AX$61</f>
        <v>0.23615659079664211</v>
      </c>
      <c r="AY124" s="426">
        <f>AX124*Indeksacja!AY$61</f>
        <v>0.23978088372489495</v>
      </c>
      <c r="AZ124" s="426">
        <f>AY124*Indeksacja!AZ$61</f>
        <v>0.24342880439072154</v>
      </c>
      <c r="BA124" s="426">
        <f>AZ124*Indeksacja!BA$61</f>
        <v>0.24713222291349751</v>
      </c>
      <c r="BB124" s="426">
        <f>BA124*Indeksacja!BB$61</f>
        <v>0.25089198361315418</v>
      </c>
      <c r="BC124" s="426">
        <f>BB124*Indeksacja!BC$61</f>
        <v>0.25470894365473412</v>
      </c>
      <c r="BD124" s="426">
        <f>BC124*Indeksacja!BD$61</f>
        <v>0.25858397324381099</v>
      </c>
      <c r="BE124" s="426">
        <f>BD124*Indeksacja!BE$61</f>
        <v>0.26272584651637759</v>
      </c>
      <c r="BF124" s="426">
        <f>BE124*Indeksacja!BF$61</f>
        <v>0.26693406231586414</v>
      </c>
      <c r="BG124" s="426">
        <f>BF124*Indeksacja!BG$61</f>
        <v>0.27120968328484529</v>
      </c>
      <c r="BH124" s="426">
        <f>BG124*Indeksacja!BH$61</f>
        <v>0.27577183032071262</v>
      </c>
      <c r="BI124" s="426">
        <f>BH124*Indeksacja!BI$61</f>
        <v>0.28041071940105561</v>
      </c>
    </row>
    <row r="125" spans="1:61">
      <c r="A125" s="831"/>
      <c r="B125" s="423" t="s">
        <v>227</v>
      </c>
      <c r="C125" s="430"/>
      <c r="D125" s="430"/>
      <c r="E125" s="430"/>
      <c r="F125" s="430"/>
      <c r="G125" s="430"/>
      <c r="H125" s="430"/>
      <c r="I125" s="430"/>
      <c r="J125" s="430"/>
      <c r="K125" s="430"/>
      <c r="L125" s="430"/>
      <c r="M125" s="430"/>
      <c r="N125" s="430"/>
      <c r="O125" s="430"/>
      <c r="P125" s="431"/>
      <c r="Q125" s="437">
        <f>AVERAGE(U37:U38)*$B$98*$Q$101*$Q$105/100</f>
        <v>0.17581655793945114</v>
      </c>
      <c r="R125" s="434">
        <f>Q125*Indeksacja!R$61</f>
        <v>0.18621916453394655</v>
      </c>
      <c r="S125" s="427">
        <f>R125*Indeksacja!S$61</f>
        <v>0.19737684146829926</v>
      </c>
      <c r="T125" s="427">
        <f>S125*Indeksacja!T$61</f>
        <v>0.20951420684074998</v>
      </c>
      <c r="U125" s="427">
        <f>T125*Indeksacja!U$61</f>
        <v>0.21281314856410122</v>
      </c>
      <c r="V125" s="427">
        <f>U125*Indeksacja!V$61</f>
        <v>0.23427486039262399</v>
      </c>
      <c r="W125" s="427">
        <f>V125*Indeksacja!W$61</f>
        <v>0.24177008549587345</v>
      </c>
      <c r="X125" s="427">
        <f>W125*Indeksacja!X$61</f>
        <v>0.24837438076245255</v>
      </c>
      <c r="Y125" s="427">
        <f>X125*Indeksacja!Y$61</f>
        <v>0.25479660962112333</v>
      </c>
      <c r="Z125" s="427">
        <f>Y125*Indeksacja!Z$61</f>
        <v>0.26162700387943949</v>
      </c>
      <c r="AA125" s="427">
        <f>Z125*Indeksacja!AA$61</f>
        <v>0.26846978095364427</v>
      </c>
      <c r="AB125" s="427">
        <f>AA125*Indeksacja!AB$61</f>
        <v>0.27553189486383045</v>
      </c>
      <c r="AC125" s="427">
        <f>AB125*Indeksacja!AC$61</f>
        <v>0.28259984851323178</v>
      </c>
      <c r="AD125" s="427">
        <f>AC125*Indeksacja!AD$61</f>
        <v>0.28966351179206601</v>
      </c>
      <c r="AE125" s="427">
        <f>AD125*Indeksacja!AE$61</f>
        <v>0.29671211307536305</v>
      </c>
      <c r="AF125" s="427">
        <f>AE125*Indeksacja!AF$61</f>
        <v>0.30397923964537021</v>
      </c>
      <c r="AG125" s="427">
        <f>AF125*Indeksacja!AG$61</f>
        <v>0.31122552156956973</v>
      </c>
      <c r="AH125" s="427">
        <f>AG125*Indeksacja!AH$61</f>
        <v>0.31868745988572122</v>
      </c>
      <c r="AI125" s="427">
        <f>AH125*Indeksacja!AI$61</f>
        <v>0.32611230107456535</v>
      </c>
      <c r="AJ125" s="427">
        <f>AI125*Indeksacja!AJ$61</f>
        <v>0.33348389031586273</v>
      </c>
      <c r="AK125" s="427">
        <f>AJ125*Indeksacja!AK$61</f>
        <v>0.34079045043205952</v>
      </c>
      <c r="AL125" s="427">
        <f>AK125*Indeksacja!AL$61</f>
        <v>0.34801586534800133</v>
      </c>
      <c r="AM125" s="427">
        <f>AL125*Indeksacja!AM$61</f>
        <v>0.3551437641613247</v>
      </c>
      <c r="AN125" s="427">
        <f>AM125*Indeksacja!AN$61</f>
        <v>0.362157099782354</v>
      </c>
      <c r="AO125" s="427">
        <f>AN125*Indeksacja!AO$61</f>
        <v>0.36933206018731102</v>
      </c>
      <c r="AP125" s="427">
        <f>AO125*Indeksacja!AP$61</f>
        <v>0.37607371648176291</v>
      </c>
      <c r="AQ125" s="427">
        <f>AP125*Indeksacja!AQ$61</f>
        <v>0.38295686356090436</v>
      </c>
      <c r="AR125" s="427">
        <f>AQ125*Indeksacja!AR$61</f>
        <v>0.38998182350347743</v>
      </c>
      <c r="AS125" s="427">
        <f>AR125*Indeksacja!AS$61</f>
        <v>0.3968384329926492</v>
      </c>
      <c r="AT125" s="427">
        <f>AS125*Indeksacja!AT$61</f>
        <v>0.40351171643823103</v>
      </c>
      <c r="AU125" s="427">
        <f>AT125*Indeksacja!AU$61</f>
        <v>0.40998687918270149</v>
      </c>
      <c r="AV125" s="427">
        <f>AU125*Indeksacja!AV$61</f>
        <v>0.41658039421804932</v>
      </c>
      <c r="AW125" s="427">
        <f>AV125*Indeksacja!AW$61</f>
        <v>0.42329116740270095</v>
      </c>
      <c r="AX125" s="427">
        <f>AW125*Indeksacja!AX$61</f>
        <v>0.43012040120359429</v>
      </c>
      <c r="AY125" s="427">
        <f>AX125*Indeksacja!AY$61</f>
        <v>0.43672145486515329</v>
      </c>
      <c r="AZ125" s="427">
        <f>AY125*Indeksacja!AZ$61</f>
        <v>0.44336554256582367</v>
      </c>
      <c r="BA125" s="427">
        <f>AZ125*Indeksacja!BA$61</f>
        <v>0.45011071048795426</v>
      </c>
      <c r="BB125" s="427">
        <f>BA125*Indeksacja!BB$61</f>
        <v>0.45695849642147662</v>
      </c>
      <c r="BC125" s="427">
        <f>BB125*Indeksacja!BC$61</f>
        <v>0.46391046155158044</v>
      </c>
      <c r="BD125" s="427">
        <f>BC125*Indeksacja!BD$61</f>
        <v>0.4709681908146387</v>
      </c>
      <c r="BE125" s="427">
        <f>BD125*Indeksacja!BE$61</f>
        <v>0.47851193197266068</v>
      </c>
      <c r="BF125" s="427">
        <f>BE125*Indeksacja!BF$61</f>
        <v>0.48617650513541066</v>
      </c>
      <c r="BG125" s="427">
        <f>BF125*Indeksacja!BG$61</f>
        <v>0.49396384573161828</v>
      </c>
      <c r="BH125" s="427">
        <f>BG125*Indeksacja!BH$61</f>
        <v>0.50227304644796322</v>
      </c>
      <c r="BI125" s="427">
        <f>BH125*Indeksacja!BI$61</f>
        <v>0.51072202018037216</v>
      </c>
    </row>
    <row r="126" spans="1:61">
      <c r="A126" s="831"/>
      <c r="B126" s="421" t="s">
        <v>245</v>
      </c>
      <c r="C126" s="396"/>
      <c r="D126" s="396"/>
      <c r="E126" s="396"/>
      <c r="F126" s="396"/>
      <c r="G126" s="396"/>
      <c r="H126" s="396"/>
      <c r="I126" s="396"/>
      <c r="J126" s="396"/>
      <c r="K126" s="396"/>
      <c r="L126" s="396"/>
      <c r="M126" s="396"/>
      <c r="N126" s="396"/>
      <c r="O126" s="396"/>
      <c r="P126" s="432"/>
      <c r="Q126" s="393">
        <f>Q124*$B$90+Q125*$B$91</f>
        <v>0.1084243998300654</v>
      </c>
      <c r="R126" s="393">
        <f>R124*$B$90+R125*$B$91</f>
        <v>0.1148395884214885</v>
      </c>
      <c r="S126" s="393">
        <f t="shared" ref="S126:BI126" si="56">S124*$B$90+S125*$B$91</f>
        <v>0.12172042171320602</v>
      </c>
      <c r="T126" s="393">
        <f t="shared" si="56"/>
        <v>0.12920541955100578</v>
      </c>
      <c r="U126" s="393">
        <f t="shared" si="56"/>
        <v>0.13123984554944845</v>
      </c>
      <c r="V126" s="393">
        <f t="shared" si="56"/>
        <v>0.14447507920209893</v>
      </c>
      <c r="W126" s="393">
        <f t="shared" si="56"/>
        <v>0.14909731326773756</v>
      </c>
      <c r="X126" s="393">
        <f t="shared" si="56"/>
        <v>0.15317011937298497</v>
      </c>
      <c r="Y126" s="393">
        <f t="shared" si="56"/>
        <v>0.15713064685534253</v>
      </c>
      <c r="Z126" s="393">
        <f t="shared" si="56"/>
        <v>0.16134288605931846</v>
      </c>
      <c r="AA126" s="393">
        <f t="shared" si="56"/>
        <v>0.16556276162813199</v>
      </c>
      <c r="AB126" s="393">
        <f t="shared" si="56"/>
        <v>0.16991790013850594</v>
      </c>
      <c r="AC126" s="393">
        <f t="shared" si="56"/>
        <v>0.17427663996053666</v>
      </c>
      <c r="AD126" s="393">
        <f t="shared" si="56"/>
        <v>0.17863273395182633</v>
      </c>
      <c r="AE126" s="393">
        <f t="shared" si="56"/>
        <v>0.18297953935365946</v>
      </c>
      <c r="AF126" s="393">
        <f t="shared" si="56"/>
        <v>0.18746110722233261</v>
      </c>
      <c r="AG126" s="393">
        <f t="shared" si="56"/>
        <v>0.19192982039610182</v>
      </c>
      <c r="AH126" s="393">
        <f t="shared" si="56"/>
        <v>0.19653152681658767</v>
      </c>
      <c r="AI126" s="393">
        <f t="shared" si="56"/>
        <v>0.20111035579133768</v>
      </c>
      <c r="AJ126" s="393">
        <f t="shared" si="56"/>
        <v>0.20565634479629075</v>
      </c>
      <c r="AK126" s="393">
        <f t="shared" si="56"/>
        <v>0.21016223095801254</v>
      </c>
      <c r="AL126" s="393">
        <f t="shared" si="56"/>
        <v>0.21461807564616753</v>
      </c>
      <c r="AM126" s="393">
        <f t="shared" si="56"/>
        <v>0.21901378308090283</v>
      </c>
      <c r="AN126" s="393">
        <f t="shared" si="56"/>
        <v>0.2233388404840787</v>
      </c>
      <c r="AO126" s="393">
        <f t="shared" si="56"/>
        <v>0.2277635703549698</v>
      </c>
      <c r="AP126" s="393">
        <f t="shared" si="56"/>
        <v>0.23192108570024383</v>
      </c>
      <c r="AQ126" s="393">
        <f t="shared" si="56"/>
        <v>0.23616585706731269</v>
      </c>
      <c r="AR126" s="393">
        <f t="shared" si="56"/>
        <v>0.24049808307907458</v>
      </c>
      <c r="AS126" s="393">
        <f t="shared" si="56"/>
        <v>0.24472648896669644</v>
      </c>
      <c r="AT126" s="393">
        <f t="shared" si="56"/>
        <v>0.24884183942607865</v>
      </c>
      <c r="AU126" s="393">
        <f t="shared" si="56"/>
        <v>0.25283501073257753</v>
      </c>
      <c r="AV126" s="393">
        <f t="shared" si="56"/>
        <v>0.25690116877170999</v>
      </c>
      <c r="AW126" s="393">
        <f t="shared" si="56"/>
        <v>0.2610396387967695</v>
      </c>
      <c r="AX126" s="393">
        <f t="shared" si="56"/>
        <v>0.26525116235768498</v>
      </c>
      <c r="AY126" s="393">
        <f t="shared" si="56"/>
        <v>0.26932196939593372</v>
      </c>
      <c r="AZ126" s="393">
        <f t="shared" si="56"/>
        <v>0.27341931511698686</v>
      </c>
      <c r="BA126" s="393">
        <f t="shared" si="56"/>
        <v>0.27757899604966602</v>
      </c>
      <c r="BB126" s="393">
        <f t="shared" si="56"/>
        <v>0.28180196053440254</v>
      </c>
      <c r="BC126" s="393">
        <f t="shared" si="56"/>
        <v>0.28608917133926109</v>
      </c>
      <c r="BD126" s="393">
        <f t="shared" si="56"/>
        <v>0.29044160587943513</v>
      </c>
      <c r="BE126" s="393">
        <f t="shared" si="56"/>
        <v>0.29509375933482007</v>
      </c>
      <c r="BF126" s="393">
        <f t="shared" si="56"/>
        <v>0.29982042873879611</v>
      </c>
      <c r="BG126" s="393">
        <f t="shared" si="56"/>
        <v>0.30462280765186123</v>
      </c>
      <c r="BH126" s="393">
        <f t="shared" si="56"/>
        <v>0.30974701273980021</v>
      </c>
      <c r="BI126" s="393">
        <f t="shared" si="56"/>
        <v>0.31495741451795312</v>
      </c>
    </row>
    <row r="127" spans="1:61">
      <c r="A127" s="831" t="s">
        <v>735</v>
      </c>
      <c r="B127" s="422" t="s">
        <v>226</v>
      </c>
      <c r="C127" s="428"/>
      <c r="D127" s="428"/>
      <c r="E127" s="428"/>
      <c r="F127" s="428"/>
      <c r="G127" s="428"/>
      <c r="H127" s="428"/>
      <c r="I127" s="428"/>
      <c r="J127" s="428"/>
      <c r="K127" s="428"/>
      <c r="L127" s="428"/>
      <c r="M127" s="428"/>
      <c r="N127" s="428"/>
      <c r="O127" s="428"/>
      <c r="P127" s="429"/>
      <c r="Q127" s="436">
        <f>AVERAGE(U39:U40)*$B$98*$Q$101*$Q$105/100</f>
        <v>0.30381346854835384</v>
      </c>
      <c r="R127" s="433">
        <f>Q127*Indeksacja!R$61</f>
        <v>0.32178931808412992</v>
      </c>
      <c r="S127" s="426">
        <f>R127*Indeksacja!S$61</f>
        <v>0.34106993971667876</v>
      </c>
      <c r="T127" s="426">
        <f>S127*Indeksacja!T$61</f>
        <v>0.36204347665802222</v>
      </c>
      <c r="U127" s="426">
        <f>T127*Indeksacja!U$61</f>
        <v>0.36774409404728653</v>
      </c>
      <c r="V127" s="426">
        <f>U127*Indeksacja!V$61</f>
        <v>0.40483023194025031</v>
      </c>
      <c r="W127" s="426">
        <f>V127*Indeksacja!W$61</f>
        <v>0.41778208563854152</v>
      </c>
      <c r="X127" s="426">
        <f>W127*Indeksacja!X$61</f>
        <v>0.42919440013139992</v>
      </c>
      <c r="Y127" s="426">
        <f>X127*Indeksacja!Y$61</f>
        <v>0.44029210132764368</v>
      </c>
      <c r="Z127" s="426">
        <f>Y127*Indeksacja!Z$61</f>
        <v>0.452095118037176</v>
      </c>
      <c r="AA127" s="426">
        <f>Z127*Indeksacja!AA$61</f>
        <v>0.46391953242557088</v>
      </c>
      <c r="AB127" s="426">
        <f>AA127*Indeksacja!AB$61</f>
        <v>0.47612296393101616</v>
      </c>
      <c r="AC127" s="426">
        <f>AB127*Indeksacja!AC$61</f>
        <v>0.48833648658741541</v>
      </c>
      <c r="AD127" s="426">
        <f>AC127*Indeksacja!AD$61</f>
        <v>0.50054259542353163</v>
      </c>
      <c r="AE127" s="426">
        <f>AD127*Indeksacja!AE$61</f>
        <v>0.51272267692092022</v>
      </c>
      <c r="AF127" s="426">
        <f>AE127*Indeksacja!AF$61</f>
        <v>0.52528037316687981</v>
      </c>
      <c r="AG127" s="426">
        <f>AF127*Indeksacja!AG$61</f>
        <v>0.53780204957365185</v>
      </c>
      <c r="AH127" s="426">
        <f>AG127*Indeksacja!AH$61</f>
        <v>0.5506963832387699</v>
      </c>
      <c r="AI127" s="426">
        <f>AH127*Indeksacja!AI$61</f>
        <v>0.56352661254959668</v>
      </c>
      <c r="AJ127" s="426">
        <f>AI127*Indeksacja!AJ$61</f>
        <v>0.57626482175105065</v>
      </c>
      <c r="AK127" s="426">
        <f>AJ127*Indeksacja!AK$61</f>
        <v>0.58889065971577348</v>
      </c>
      <c r="AL127" s="426">
        <f>AK127*Indeksacja!AL$61</f>
        <v>0.60137627764073187</v>
      </c>
      <c r="AM127" s="426">
        <f>AL127*Indeksacja!AM$61</f>
        <v>0.61369338637791493</v>
      </c>
      <c r="AN127" s="426">
        <f>AM127*Indeksacja!AN$61</f>
        <v>0.62581252831818901</v>
      </c>
      <c r="AO127" s="426">
        <f>AN127*Indeksacja!AO$61</f>
        <v>0.63821096014323819</v>
      </c>
      <c r="AP127" s="426">
        <f>AO127*Indeksacja!AP$61</f>
        <v>0.64986063641140657</v>
      </c>
      <c r="AQ127" s="426">
        <f>AP127*Indeksacja!AQ$61</f>
        <v>0.66175481073236342</v>
      </c>
      <c r="AR127" s="426">
        <f>AQ127*Indeksacja!AR$61</f>
        <v>0.67389403966267492</v>
      </c>
      <c r="AS127" s="426">
        <f>AR127*Indeksacja!AS$61</f>
        <v>0.68574235665739292</v>
      </c>
      <c r="AT127" s="426">
        <f>AS127*Indeksacja!AT$61</f>
        <v>0.69727388368743948</v>
      </c>
      <c r="AU127" s="426">
        <f>AT127*Indeksacja!AU$61</f>
        <v>0.70846305537791332</v>
      </c>
      <c r="AV127" s="426">
        <f>AU127*Indeksacja!AV$61</f>
        <v>0.71985674148058765</v>
      </c>
      <c r="AW127" s="426">
        <f>AV127*Indeksacja!AW$61</f>
        <v>0.73145305130353644</v>
      </c>
      <c r="AX127" s="426">
        <f>AW127*Indeksacja!AX$61</f>
        <v>0.7432540627264288</v>
      </c>
      <c r="AY127" s="426">
        <f>AX127*Indeksacja!AY$61</f>
        <v>0.75466077568052214</v>
      </c>
      <c r="AZ127" s="426">
        <f>AY127*Indeksacja!AZ$61</f>
        <v>0.76614185205545204</v>
      </c>
      <c r="BA127" s="426">
        <f>AZ127*Indeksacja!BA$61</f>
        <v>0.7777975964653121</v>
      </c>
      <c r="BB127" s="426">
        <f>BA127*Indeksacja!BB$61</f>
        <v>0.78963066623258926</v>
      </c>
      <c r="BC127" s="426">
        <f>BB127*Indeksacja!BC$61</f>
        <v>0.8016437591071035</v>
      </c>
      <c r="BD127" s="426">
        <f>BC127*Indeksacja!BD$61</f>
        <v>0.81383961388105142</v>
      </c>
      <c r="BE127" s="426">
        <f>BD127*Indeksacja!BE$61</f>
        <v>0.82687530399983389</v>
      </c>
      <c r="BF127" s="426">
        <f>BE127*Indeksacja!BF$61</f>
        <v>0.84011979351099608</v>
      </c>
      <c r="BG127" s="426">
        <f>BF127*Indeksacja!BG$61</f>
        <v>0.85357642686242385</v>
      </c>
      <c r="BH127" s="426">
        <f>BG127*Indeksacja!BH$61</f>
        <v>0.86793484179264113</v>
      </c>
      <c r="BI127" s="426">
        <f>BH127*Indeksacja!BI$61</f>
        <v>0.88253478644746208</v>
      </c>
    </row>
    <row r="128" spans="1:61">
      <c r="A128" s="831"/>
      <c r="B128" s="423" t="s">
        <v>227</v>
      </c>
      <c r="C128" s="430"/>
      <c r="D128" s="430"/>
      <c r="E128" s="430"/>
      <c r="F128" s="430"/>
      <c r="G128" s="430"/>
      <c r="H128" s="430"/>
      <c r="I128" s="430"/>
      <c r="J128" s="430"/>
      <c r="K128" s="430"/>
      <c r="L128" s="430"/>
      <c r="M128" s="430"/>
      <c r="N128" s="430"/>
      <c r="O128" s="430"/>
      <c r="P128" s="431"/>
      <c r="Q128" s="437">
        <f>AVERAGE(U41:U42)*$B$98*$Q$101*$Q$105/100</f>
        <v>0.55335583501828256</v>
      </c>
      <c r="R128" s="434">
        <f>Q128*Indeksacja!R$61</f>
        <v>0.58609645470693617</v>
      </c>
      <c r="S128" s="427">
        <f>R128*Indeksacja!S$61</f>
        <v>0.62121354327489275</v>
      </c>
      <c r="T128" s="427">
        <f>S128*Indeksacja!T$61</f>
        <v>0.65941405197161884</v>
      </c>
      <c r="U128" s="427">
        <f>T128*Indeksacja!U$61</f>
        <v>0.66979696853759074</v>
      </c>
      <c r="V128" s="427">
        <f>U128*Indeksacja!V$61</f>
        <v>0.73734443738227085</v>
      </c>
      <c r="W128" s="427">
        <f>V128*Indeksacja!W$61</f>
        <v>0.76093451669145029</v>
      </c>
      <c r="X128" s="427">
        <f>W128*Indeksacja!X$61</f>
        <v>0.78172053004978104</v>
      </c>
      <c r="Y128" s="427">
        <f>X128*Indeksacja!Y$61</f>
        <v>0.80193351712231919</v>
      </c>
      <c r="Z128" s="427">
        <f>Y128*Indeksacja!Z$61</f>
        <v>0.8234311426168206</v>
      </c>
      <c r="AA128" s="427">
        <f>Z128*Indeksacja!AA$61</f>
        <v>0.84496774113813033</v>
      </c>
      <c r="AB128" s="427">
        <f>AA128*Indeksacja!AB$61</f>
        <v>0.86719466894040897</v>
      </c>
      <c r="AC128" s="427">
        <f>AB128*Indeksacja!AC$61</f>
        <v>0.8894399764323343</v>
      </c>
      <c r="AD128" s="427">
        <f>AC128*Indeksacja!AD$61</f>
        <v>0.91167178063642651</v>
      </c>
      <c r="AE128" s="427">
        <f>AD128*Indeksacja!AE$61</f>
        <v>0.93385617950387001</v>
      </c>
      <c r="AF128" s="427">
        <f>AE128*Indeksacja!AF$61</f>
        <v>0.95672835342456952</v>
      </c>
      <c r="AG128" s="427">
        <f>AF128*Indeksacja!AG$61</f>
        <v>0.97953492199773096</v>
      </c>
      <c r="AH128" s="427">
        <f>AG128*Indeksacja!AH$61</f>
        <v>1.0030202362148988</v>
      </c>
      <c r="AI128" s="427">
        <f>AH128*Indeksacja!AI$61</f>
        <v>1.0263887928746527</v>
      </c>
      <c r="AJ128" s="427">
        <f>AI128*Indeksacja!AJ$61</f>
        <v>1.0495897471410573</v>
      </c>
      <c r="AK128" s="427">
        <f>AJ128*Indeksacja!AK$61</f>
        <v>1.0725860321417098</v>
      </c>
      <c r="AL128" s="427">
        <f>AK128*Indeksacja!AL$61</f>
        <v>1.095326924984928</v>
      </c>
      <c r="AM128" s="427">
        <f>AL128*Indeksacja!AM$61</f>
        <v>1.1177609007492058</v>
      </c>
      <c r="AN128" s="427">
        <f>AM128*Indeksacja!AN$61</f>
        <v>1.1398343063164713</v>
      </c>
      <c r="AO128" s="427">
        <f>AN128*Indeksacja!AO$61</f>
        <v>1.1624164012718021</v>
      </c>
      <c r="AP128" s="427">
        <f>AO128*Indeksacja!AP$61</f>
        <v>1.1836347375419698</v>
      </c>
      <c r="AQ128" s="427">
        <f>AP128*Indeksacja!AQ$61</f>
        <v>1.2052983945044937</v>
      </c>
      <c r="AR128" s="427">
        <f>AQ128*Indeksacja!AR$61</f>
        <v>1.2274083858531541</v>
      </c>
      <c r="AS128" s="427">
        <f>AR128*Indeksacja!AS$61</f>
        <v>1.2489885197935624</v>
      </c>
      <c r="AT128" s="427">
        <f>AS128*Indeksacja!AT$61</f>
        <v>1.2699916629367431</v>
      </c>
      <c r="AU128" s="427">
        <f>AT128*Indeksacja!AU$61</f>
        <v>1.2903712513517303</v>
      </c>
      <c r="AV128" s="427">
        <f>AU128*Indeksacja!AV$61</f>
        <v>1.3111233355743495</v>
      </c>
      <c r="AW128" s="427">
        <f>AV128*Indeksacja!AW$61</f>
        <v>1.3322444719606621</v>
      </c>
      <c r="AX128" s="427">
        <f>AW128*Indeksacja!AX$61</f>
        <v>1.3537384450921908</v>
      </c>
      <c r="AY128" s="427">
        <f>AX128*Indeksacja!AY$61</f>
        <v>1.3745142559924952</v>
      </c>
      <c r="AZ128" s="427">
        <f>AY128*Indeksacja!AZ$61</f>
        <v>1.3954255099757822</v>
      </c>
      <c r="BA128" s="427">
        <f>AZ128*Indeksacja!BA$61</f>
        <v>1.4166548985591629</v>
      </c>
      <c r="BB128" s="427">
        <f>BA128*Indeksacja!BB$61</f>
        <v>1.4382072617022048</v>
      </c>
      <c r="BC128" s="427">
        <f>BB128*Indeksacja!BC$61</f>
        <v>1.4600875129974862</v>
      </c>
      <c r="BD128" s="427">
        <f>BC128*Indeksacja!BD$61</f>
        <v>1.482300640790817</v>
      </c>
      <c r="BE128" s="427">
        <f>BD128*Indeksacja!BE$61</f>
        <v>1.5060434169922294</v>
      </c>
      <c r="BF128" s="427">
        <f>BE128*Indeksacja!BF$61</f>
        <v>1.5301664935228987</v>
      </c>
      <c r="BG128" s="427">
        <f>BF128*Indeksacja!BG$61</f>
        <v>1.5546759618499391</v>
      </c>
      <c r="BH128" s="427">
        <f>BG128*Indeksacja!BH$61</f>
        <v>1.5808279054132468</v>
      </c>
      <c r="BI128" s="427">
        <f>BH128*Indeksacja!BI$61</f>
        <v>1.6074197632538196</v>
      </c>
    </row>
    <row r="129" spans="1:61">
      <c r="A129" s="831"/>
      <c r="B129" s="421" t="s">
        <v>245</v>
      </c>
      <c r="C129" s="396"/>
      <c r="D129" s="396"/>
      <c r="E129" s="396"/>
      <c r="F129" s="396"/>
      <c r="G129" s="396"/>
      <c r="H129" s="396"/>
      <c r="I129" s="396"/>
      <c r="J129" s="396"/>
      <c r="K129" s="396"/>
      <c r="L129" s="396"/>
      <c r="M129" s="396"/>
      <c r="N129" s="396"/>
      <c r="O129" s="396"/>
      <c r="P129" s="432"/>
      <c r="Q129" s="393">
        <f>Q127*$B$90+Q128*$B$91</f>
        <v>0.34124482351884311</v>
      </c>
      <c r="R129" s="393">
        <f>R127*$B$90+R128*$B$91</f>
        <v>0.36143538857755086</v>
      </c>
      <c r="S129" s="393">
        <f t="shared" ref="S129:BI129" si="57">S127*$B$90+S128*$B$91</f>
        <v>0.3830914802504109</v>
      </c>
      <c r="T129" s="393">
        <f t="shared" si="57"/>
        <v>0.4066490629550617</v>
      </c>
      <c r="U129" s="393">
        <f t="shared" si="57"/>
        <v>0.41305202522083218</v>
      </c>
      <c r="V129" s="393">
        <f t="shared" si="57"/>
        <v>0.45470736275655338</v>
      </c>
      <c r="W129" s="393">
        <f t="shared" si="57"/>
        <v>0.46925495029647785</v>
      </c>
      <c r="X129" s="393">
        <f t="shared" si="57"/>
        <v>0.48207331961915711</v>
      </c>
      <c r="Y129" s="393">
        <f t="shared" si="57"/>
        <v>0.49453831369684503</v>
      </c>
      <c r="Z129" s="393">
        <f t="shared" si="57"/>
        <v>0.50779552172412268</v>
      </c>
      <c r="AA129" s="393">
        <f t="shared" si="57"/>
        <v>0.52107676373245482</v>
      </c>
      <c r="AB129" s="393">
        <f t="shared" si="57"/>
        <v>0.53478371968242511</v>
      </c>
      <c r="AC129" s="393">
        <f t="shared" si="57"/>
        <v>0.54850201006415322</v>
      </c>
      <c r="AD129" s="393">
        <f t="shared" si="57"/>
        <v>0.5622119732054659</v>
      </c>
      <c r="AE129" s="393">
        <f t="shared" si="57"/>
        <v>0.57589270230836265</v>
      </c>
      <c r="AF129" s="393">
        <f t="shared" si="57"/>
        <v>0.58999757020553334</v>
      </c>
      <c r="AG129" s="393">
        <f t="shared" si="57"/>
        <v>0.60406198043726378</v>
      </c>
      <c r="AH129" s="393">
        <f t="shared" si="57"/>
        <v>0.6185449611851892</v>
      </c>
      <c r="AI129" s="393">
        <f t="shared" si="57"/>
        <v>0.63295593959835506</v>
      </c>
      <c r="AJ129" s="393">
        <f t="shared" si="57"/>
        <v>0.6472635605595517</v>
      </c>
      <c r="AK129" s="393">
        <f t="shared" si="57"/>
        <v>0.66144496557966392</v>
      </c>
      <c r="AL129" s="393">
        <f t="shared" si="57"/>
        <v>0.67546887474236128</v>
      </c>
      <c r="AM129" s="393">
        <f t="shared" si="57"/>
        <v>0.68930351353360853</v>
      </c>
      <c r="AN129" s="393">
        <f t="shared" si="57"/>
        <v>0.70291579501793144</v>
      </c>
      <c r="AO129" s="393">
        <f t="shared" si="57"/>
        <v>0.71684177631252277</v>
      </c>
      <c r="AP129" s="393">
        <f t="shared" si="57"/>
        <v>0.72992675158099107</v>
      </c>
      <c r="AQ129" s="393">
        <f t="shared" si="57"/>
        <v>0.74328634829818296</v>
      </c>
      <c r="AR129" s="393">
        <f t="shared" si="57"/>
        <v>0.75692119159124682</v>
      </c>
      <c r="AS129" s="393">
        <f t="shared" si="57"/>
        <v>0.77022928112781841</v>
      </c>
      <c r="AT129" s="393">
        <f t="shared" si="57"/>
        <v>0.78318155057483507</v>
      </c>
      <c r="AU129" s="393">
        <f t="shared" si="57"/>
        <v>0.79574928477398588</v>
      </c>
      <c r="AV129" s="393">
        <f t="shared" si="57"/>
        <v>0.80854673059465199</v>
      </c>
      <c r="AW129" s="393">
        <f t="shared" si="57"/>
        <v>0.82157176440210522</v>
      </c>
      <c r="AX129" s="393">
        <f t="shared" si="57"/>
        <v>0.83482672008129311</v>
      </c>
      <c r="AY129" s="393">
        <f t="shared" si="57"/>
        <v>0.84763879772731809</v>
      </c>
      <c r="AZ129" s="393">
        <f t="shared" si="57"/>
        <v>0.86053440074350163</v>
      </c>
      <c r="BA129" s="393">
        <f t="shared" si="57"/>
        <v>0.87362619177938972</v>
      </c>
      <c r="BB129" s="393">
        <f t="shared" si="57"/>
        <v>0.88691715555303152</v>
      </c>
      <c r="BC129" s="393">
        <f t="shared" si="57"/>
        <v>0.90041032219066086</v>
      </c>
      <c r="BD129" s="393">
        <f t="shared" si="57"/>
        <v>0.91410876791751616</v>
      </c>
      <c r="BE129" s="393">
        <f t="shared" si="57"/>
        <v>0.92875052094869326</v>
      </c>
      <c r="BF129" s="393">
        <f t="shared" si="57"/>
        <v>0.94362679851278153</v>
      </c>
      <c r="BG129" s="393">
        <f t="shared" si="57"/>
        <v>0.95874135711055108</v>
      </c>
      <c r="BH129" s="393">
        <f t="shared" si="57"/>
        <v>0.97486880133573195</v>
      </c>
      <c r="BI129" s="393">
        <f t="shared" si="57"/>
        <v>0.99126753296841574</v>
      </c>
    </row>
    <row r="130" spans="1:61">
      <c r="A130" s="407" t="s">
        <v>244</v>
      </c>
      <c r="B130" s="407"/>
      <c r="C130" s="407"/>
      <c r="D130" s="407"/>
      <c r="E130" s="407"/>
      <c r="F130" s="407"/>
      <c r="G130" s="407"/>
      <c r="H130" s="407"/>
      <c r="I130" s="407"/>
      <c r="J130" s="407"/>
      <c r="K130" s="407"/>
      <c r="L130" s="407"/>
      <c r="M130" s="407"/>
      <c r="N130" s="407"/>
      <c r="O130" s="407"/>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row>
    <row r="131" spans="1:61">
      <c r="A131" s="831" t="s">
        <v>229</v>
      </c>
      <c r="B131" s="422" t="s">
        <v>226</v>
      </c>
      <c r="C131" s="428"/>
      <c r="D131" s="428"/>
      <c r="E131" s="428"/>
      <c r="F131" s="428"/>
      <c r="G131" s="428"/>
      <c r="H131" s="428"/>
      <c r="I131" s="428"/>
      <c r="J131" s="428"/>
      <c r="K131" s="428"/>
      <c r="L131" s="428"/>
      <c r="M131" s="428"/>
      <c r="N131" s="428"/>
      <c r="O131" s="428"/>
      <c r="P131" s="429"/>
      <c r="Q131" s="436">
        <f>AVERAGE(U49:U50)*$B$98*$Q$101*$Q$105/100</f>
        <v>0.95355953759056433</v>
      </c>
      <c r="R131" s="433">
        <f>Q131*Indeksacja!R$61</f>
        <v>1.0099791652424703</v>
      </c>
      <c r="S131" s="426">
        <f>R131*Indeksacja!S$61</f>
        <v>1.0704939960570423</v>
      </c>
      <c r="T131" s="426">
        <f>S131*Indeksacja!T$61</f>
        <v>1.1363222698428803</v>
      </c>
      <c r="U131" s="426">
        <f>T131*Indeksacja!U$61</f>
        <v>1.1542144261967795</v>
      </c>
      <c r="V131" s="426">
        <f>U131*Indeksacja!V$61</f>
        <v>1.2706142707106052</v>
      </c>
      <c r="W131" s="426">
        <f>V131*Indeksacja!W$61</f>
        <v>1.3112654099852867</v>
      </c>
      <c r="X131" s="426">
        <f>W131*Indeksacja!X$61</f>
        <v>1.3470844978705103</v>
      </c>
      <c r="Y131" s="426">
        <f>X131*Indeksacja!Y$61</f>
        <v>1.3819161295014966</v>
      </c>
      <c r="Z131" s="426">
        <f>Y131*Indeksacja!Z$61</f>
        <v>1.4189614889764801</v>
      </c>
      <c r="AA131" s="426">
        <f>Z131*Indeksacja!AA$61</f>
        <v>1.456074007951861</v>
      </c>
      <c r="AB131" s="426">
        <f>AA131*Indeksacja!AB$61</f>
        <v>1.4943761232562012</v>
      </c>
      <c r="AC131" s="426">
        <f>AB131*Indeksacja!AC$61</f>
        <v>1.5327099109985123</v>
      </c>
      <c r="AD131" s="426">
        <f>AC131*Indeksacja!AD$61</f>
        <v>1.5710204294661774</v>
      </c>
      <c r="AE131" s="426">
        <f>AD131*Indeksacja!AE$61</f>
        <v>1.6092492576216899</v>
      </c>
      <c r="AF131" s="426">
        <f>AE131*Indeksacja!AF$61</f>
        <v>1.6486632805835923</v>
      </c>
      <c r="AG131" s="426">
        <f>AF131*Indeksacja!AG$61</f>
        <v>1.6879642504232486</v>
      </c>
      <c r="AH131" s="426">
        <f>AG131*Indeksacja!AH$61</f>
        <v>1.72843485531775</v>
      </c>
      <c r="AI131" s="426">
        <f>AH131*Indeksacja!AI$61</f>
        <v>1.7687042600524046</v>
      </c>
      <c r="AJ131" s="426">
        <f>AI131*Indeksacja!AJ$61</f>
        <v>1.8086848472656971</v>
      </c>
      <c r="AK131" s="426">
        <f>AJ131*Indeksacja!AK$61</f>
        <v>1.8483127422002441</v>
      </c>
      <c r="AL131" s="426">
        <f>AK131*Indeksacja!AL$61</f>
        <v>1.8875005376325618</v>
      </c>
      <c r="AM131" s="426">
        <f>AL131*Indeksacja!AM$61</f>
        <v>1.9261594442570773</v>
      </c>
      <c r="AN131" s="426">
        <f>AM131*Indeksacja!AN$61</f>
        <v>1.9641970053954274</v>
      </c>
      <c r="AO131" s="426">
        <f>AN131*Indeksacja!AO$61</f>
        <v>2.0031111554969079</v>
      </c>
      <c r="AP131" s="426">
        <f>AO131*Indeksacja!AP$61</f>
        <v>2.0396752353200722</v>
      </c>
      <c r="AQ131" s="426">
        <f>AP131*Indeksacja!AQ$61</f>
        <v>2.077006705250307</v>
      </c>
      <c r="AR131" s="426">
        <f>AQ131*Indeksacja!AR$61</f>
        <v>2.1151073121154416</v>
      </c>
      <c r="AS131" s="426">
        <f>AR131*Indeksacja!AS$61</f>
        <v>2.1522948526438221</v>
      </c>
      <c r="AT131" s="426">
        <f>AS131*Indeksacja!AT$61</f>
        <v>2.1884881051517642</v>
      </c>
      <c r="AU131" s="426">
        <f>AT131*Indeksacja!AU$61</f>
        <v>2.2236068292628763</v>
      </c>
      <c r="AV131" s="426">
        <f>AU131*Indeksacja!AV$61</f>
        <v>2.259367449433634</v>
      </c>
      <c r="AW131" s="426">
        <f>AV131*Indeksacja!AW$61</f>
        <v>2.2957640314724848</v>
      </c>
      <c r="AX131" s="426">
        <f>AW131*Indeksacja!AX$61</f>
        <v>2.3328030970849536</v>
      </c>
      <c r="AY131" s="426">
        <f>AX131*Indeksacja!AY$61</f>
        <v>2.3686046037854456</v>
      </c>
      <c r="AZ131" s="426">
        <f>AY131*Indeksacja!AZ$61</f>
        <v>2.4046395101094804</v>
      </c>
      <c r="BA131" s="426">
        <f>AZ131*Indeksacja!BA$61</f>
        <v>2.4412226356135789</v>
      </c>
      <c r="BB131" s="426">
        <f>BA131*Indeksacja!BB$61</f>
        <v>2.4783623206626828</v>
      </c>
      <c r="BC131" s="426">
        <f>BB131*Indeksacja!BC$61</f>
        <v>2.5160670325083698</v>
      </c>
      <c r="BD131" s="426">
        <f>BC131*Indeksacja!BD$61</f>
        <v>2.5543453672192502</v>
      </c>
      <c r="BE131" s="426">
        <f>BD131*Indeksacja!BE$61</f>
        <v>2.595259638404241</v>
      </c>
      <c r="BF131" s="426">
        <f>BE131*Indeksacja!BF$61</f>
        <v>2.6368292546369618</v>
      </c>
      <c r="BG131" s="426">
        <f>BF131*Indeksacja!BG$61</f>
        <v>2.6790647129180716</v>
      </c>
      <c r="BH131" s="426">
        <f>BG131*Indeksacja!BH$61</f>
        <v>2.7241305342814597</v>
      </c>
      <c r="BI131" s="426">
        <f>BH131*Indeksacja!BI$61</f>
        <v>2.7699544292536578</v>
      </c>
    </row>
    <row r="132" spans="1:61">
      <c r="A132" s="831"/>
      <c r="B132" s="423" t="s">
        <v>227</v>
      </c>
      <c r="C132" s="430"/>
      <c r="D132" s="430"/>
      <c r="E132" s="430"/>
      <c r="F132" s="430"/>
      <c r="G132" s="430"/>
      <c r="H132" s="430"/>
      <c r="I132" s="430"/>
      <c r="J132" s="430"/>
      <c r="K132" s="430"/>
      <c r="L132" s="430"/>
      <c r="M132" s="430"/>
      <c r="N132" s="430"/>
      <c r="O132" s="430"/>
      <c r="P132" s="431"/>
      <c r="Q132" s="437">
        <f>AVERAGE(U51:U52)*$B$98*$Q$101*$Q$105/100</f>
        <v>1.7363931409650735</v>
      </c>
      <c r="R132" s="434">
        <f>Q132*Indeksacja!R$61</f>
        <v>1.839130988586118</v>
      </c>
      <c r="S132" s="427">
        <f>R132*Indeksacja!S$61</f>
        <v>1.9493260346328416</v>
      </c>
      <c r="T132" s="427">
        <f>S132*Indeksacja!T$61</f>
        <v>2.0691966442563587</v>
      </c>
      <c r="U132" s="427">
        <f>T132*Indeksacja!U$61</f>
        <v>2.1017775333831006</v>
      </c>
      <c r="V132" s="427">
        <f>U132*Indeksacja!V$61</f>
        <v>2.313736916783439</v>
      </c>
      <c r="W132" s="427">
        <f>V132*Indeksacja!W$61</f>
        <v>2.3877609883032198</v>
      </c>
      <c r="X132" s="427">
        <f>W132*Indeksacja!X$61</f>
        <v>2.452986090740644</v>
      </c>
      <c r="Y132" s="427">
        <f>X132*Indeksacja!Y$61</f>
        <v>2.5164130754945164</v>
      </c>
      <c r="Z132" s="427">
        <f>Y132*Indeksacja!Z$61</f>
        <v>2.5838711686299307</v>
      </c>
      <c r="AA132" s="427">
        <f>Z132*Indeksacja!AA$61</f>
        <v>2.6514515564844929</v>
      </c>
      <c r="AB132" s="427">
        <f>AA132*Indeksacja!AB$61</f>
        <v>2.7211981508785454</v>
      </c>
      <c r="AC132" s="427">
        <f>AB132*Indeksacja!AC$61</f>
        <v>2.7910024194941676</v>
      </c>
      <c r="AD132" s="427">
        <f>AC132*Indeksacja!AD$61</f>
        <v>2.8607643157069158</v>
      </c>
      <c r="AE132" s="427">
        <f>AD132*Indeksacja!AE$61</f>
        <v>2.9303774571832131</v>
      </c>
      <c r="AF132" s="427">
        <f>AE132*Indeksacja!AF$61</f>
        <v>3.0021487902053918</v>
      </c>
      <c r="AG132" s="427">
        <f>AF132*Indeksacja!AG$61</f>
        <v>3.0737142580893235</v>
      </c>
      <c r="AH132" s="427">
        <f>AG132*Indeksacja!AH$61</f>
        <v>3.1474095838443192</v>
      </c>
      <c r="AI132" s="427">
        <f>AH132*Indeksacja!AI$61</f>
        <v>3.2207385322901412</v>
      </c>
      <c r="AJ132" s="427">
        <f>AI132*Indeksacja!AJ$61</f>
        <v>3.2935415557744756</v>
      </c>
      <c r="AK132" s="427">
        <f>AJ132*Indeksacja!AK$61</f>
        <v>3.3657023409616267</v>
      </c>
      <c r="AL132" s="427">
        <f>AK132*Indeksacja!AL$61</f>
        <v>3.4370617228520901</v>
      </c>
      <c r="AM132" s="427">
        <f>AL132*Indeksacja!AM$61</f>
        <v>3.5074580197310801</v>
      </c>
      <c r="AN132" s="427">
        <f>AM132*Indeksacja!AN$61</f>
        <v>3.5767228717470956</v>
      </c>
      <c r="AO132" s="427">
        <f>AN132*Indeksacja!AO$61</f>
        <v>3.6475839566180319</v>
      </c>
      <c r="AP132" s="427">
        <f>AO132*Indeksacja!AP$61</f>
        <v>3.7141656590789669</v>
      </c>
      <c r="AQ132" s="427">
        <f>AP132*Indeksacja!AQ$61</f>
        <v>3.782144747718565</v>
      </c>
      <c r="AR132" s="427">
        <f>AQ132*Indeksacja!AR$61</f>
        <v>3.8515244034392686</v>
      </c>
      <c r="AS132" s="427">
        <f>AR132*Indeksacja!AS$61</f>
        <v>3.9192414024910533</v>
      </c>
      <c r="AT132" s="427">
        <f>AS132*Indeksacja!AT$61</f>
        <v>3.9851478434908518</v>
      </c>
      <c r="AU132" s="427">
        <f>AT132*Indeksacja!AU$61</f>
        <v>4.0490976119762712</v>
      </c>
      <c r="AV132" s="427">
        <f>AU132*Indeksacja!AV$61</f>
        <v>4.1142162470832728</v>
      </c>
      <c r="AW132" s="427">
        <f>AV132*Indeksacja!AW$61</f>
        <v>4.1804929428903561</v>
      </c>
      <c r="AX132" s="427">
        <f>AW132*Indeksacja!AX$61</f>
        <v>4.2479395751580737</v>
      </c>
      <c r="AY132" s="427">
        <f>AX132*Indeksacja!AY$61</f>
        <v>4.3131326629730493</v>
      </c>
      <c r="AZ132" s="427">
        <f>AY132*Indeksacja!AZ$61</f>
        <v>4.3787507620111814</v>
      </c>
      <c r="BA132" s="427">
        <f>AZ132*Indeksacja!BA$61</f>
        <v>4.4453671458825958</v>
      </c>
      <c r="BB132" s="427">
        <f>BA132*Indeksacja!BB$61</f>
        <v>4.5129970020526855</v>
      </c>
      <c r="BC132" s="427">
        <f>BB132*Indeksacja!BC$61</f>
        <v>4.5816557490422483</v>
      </c>
      <c r="BD132" s="427">
        <f>BC132*Indeksacja!BD$61</f>
        <v>4.651359039942661</v>
      </c>
      <c r="BE132" s="427">
        <f>BD132*Indeksacja!BE$61</f>
        <v>4.7258622639707211</v>
      </c>
      <c r="BF132" s="427">
        <f>BE132*Indeksacja!BF$61</f>
        <v>4.8015588446807547</v>
      </c>
      <c r="BG132" s="427">
        <f>BF132*Indeksacja!BG$61</f>
        <v>4.8784678966840964</v>
      </c>
      <c r="BH132" s="427">
        <f>BG132*Indeksacja!BH$61</f>
        <v>4.9605309247621019</v>
      </c>
      <c r="BI132" s="427">
        <f>BH132*Indeksacja!BI$61</f>
        <v>5.0439743740542982</v>
      </c>
    </row>
    <row r="133" spans="1:61">
      <c r="A133" s="831"/>
      <c r="B133" s="421" t="s">
        <v>245</v>
      </c>
      <c r="C133" s="396"/>
      <c r="D133" s="396"/>
      <c r="E133" s="396"/>
      <c r="F133" s="396"/>
      <c r="G133" s="396"/>
      <c r="H133" s="396"/>
      <c r="I133" s="396"/>
      <c r="J133" s="396"/>
      <c r="K133" s="396"/>
      <c r="L133" s="396"/>
      <c r="M133" s="396"/>
      <c r="N133" s="396"/>
      <c r="O133" s="396"/>
      <c r="P133" s="432"/>
      <c r="Q133" s="393">
        <f>Q131*$B$90+Q132*$B$91</f>
        <v>1.0709845780967406</v>
      </c>
      <c r="R133" s="393">
        <f>R131*$B$90+R132*$B$91</f>
        <v>1.1343519387440175</v>
      </c>
      <c r="S133" s="393">
        <f t="shared" ref="S133:BI133" si="58">S131*$B$90+S132*$B$91</f>
        <v>1.2023188018434121</v>
      </c>
      <c r="T133" s="393">
        <f t="shared" si="58"/>
        <v>1.2762534260049021</v>
      </c>
      <c r="U133" s="393">
        <f t="shared" si="58"/>
        <v>1.2963488922747277</v>
      </c>
      <c r="V133" s="393">
        <f t="shared" si="58"/>
        <v>1.4270826676215302</v>
      </c>
      <c r="W133" s="393">
        <f t="shared" si="58"/>
        <v>1.4727397467329766</v>
      </c>
      <c r="X133" s="393">
        <f t="shared" si="58"/>
        <v>1.5129697368010304</v>
      </c>
      <c r="Y133" s="393">
        <f t="shared" si="58"/>
        <v>1.5520906714004497</v>
      </c>
      <c r="Z133" s="393">
        <f t="shared" si="58"/>
        <v>1.5936979409244978</v>
      </c>
      <c r="AA133" s="393">
        <f t="shared" si="58"/>
        <v>1.6353806402317559</v>
      </c>
      <c r="AB133" s="393">
        <f t="shared" si="58"/>
        <v>1.6783994273995528</v>
      </c>
      <c r="AC133" s="393">
        <f t="shared" si="58"/>
        <v>1.7214537872728606</v>
      </c>
      <c r="AD133" s="393">
        <f t="shared" si="58"/>
        <v>1.7644820124022882</v>
      </c>
      <c r="AE133" s="393">
        <f t="shared" si="58"/>
        <v>1.8074184875559183</v>
      </c>
      <c r="AF133" s="393">
        <f t="shared" si="58"/>
        <v>1.8516861070268624</v>
      </c>
      <c r="AG133" s="393">
        <f t="shared" si="58"/>
        <v>1.8958267515731599</v>
      </c>
      <c r="AH133" s="393">
        <f t="shared" si="58"/>
        <v>1.9412810645967353</v>
      </c>
      <c r="AI133" s="393">
        <f t="shared" si="58"/>
        <v>1.986509400888065</v>
      </c>
      <c r="AJ133" s="393">
        <f t="shared" si="58"/>
        <v>2.031413353542014</v>
      </c>
      <c r="AK133" s="393">
        <f t="shared" si="58"/>
        <v>2.0759211820144516</v>
      </c>
      <c r="AL133" s="393">
        <f t="shared" si="58"/>
        <v>2.1199347154154911</v>
      </c>
      <c r="AM133" s="393">
        <f t="shared" si="58"/>
        <v>2.1633542305781779</v>
      </c>
      <c r="AN133" s="393">
        <f t="shared" si="58"/>
        <v>2.2060758853481777</v>
      </c>
      <c r="AO133" s="393">
        <f t="shared" si="58"/>
        <v>2.2497820756650766</v>
      </c>
      <c r="AP133" s="393">
        <f t="shared" si="58"/>
        <v>2.2908487988839066</v>
      </c>
      <c r="AQ133" s="393">
        <f t="shared" si="58"/>
        <v>2.3327774116205457</v>
      </c>
      <c r="AR133" s="393">
        <f t="shared" si="58"/>
        <v>2.3755698758140156</v>
      </c>
      <c r="AS133" s="393">
        <f t="shared" si="58"/>
        <v>2.4173368351209068</v>
      </c>
      <c r="AT133" s="393">
        <f t="shared" si="58"/>
        <v>2.4579870659026275</v>
      </c>
      <c r="AU133" s="393">
        <f t="shared" si="58"/>
        <v>2.4974304466698856</v>
      </c>
      <c r="AV133" s="393">
        <f t="shared" si="58"/>
        <v>2.5375947690810796</v>
      </c>
      <c r="AW133" s="393">
        <f t="shared" si="58"/>
        <v>2.5784733681851657</v>
      </c>
      <c r="AX133" s="393">
        <f t="shared" si="58"/>
        <v>2.6200735687959216</v>
      </c>
      <c r="AY133" s="393">
        <f t="shared" si="58"/>
        <v>2.6602838126635864</v>
      </c>
      <c r="AZ133" s="393">
        <f t="shared" si="58"/>
        <v>2.7007561978947354</v>
      </c>
      <c r="BA133" s="393">
        <f t="shared" si="58"/>
        <v>2.7418443121539315</v>
      </c>
      <c r="BB133" s="393">
        <f t="shared" si="58"/>
        <v>2.7835575228711833</v>
      </c>
      <c r="BC133" s="393">
        <f t="shared" si="58"/>
        <v>2.8259053399884517</v>
      </c>
      <c r="BD133" s="393">
        <f t="shared" si="58"/>
        <v>2.8688974181277618</v>
      </c>
      <c r="BE133" s="393">
        <f t="shared" si="58"/>
        <v>2.914850032239213</v>
      </c>
      <c r="BF133" s="393">
        <f t="shared" si="58"/>
        <v>2.961538693143531</v>
      </c>
      <c r="BG133" s="393">
        <f t="shared" si="58"/>
        <v>3.0089751904829751</v>
      </c>
      <c r="BH133" s="393">
        <f t="shared" si="58"/>
        <v>3.0595905928535561</v>
      </c>
      <c r="BI133" s="393">
        <f t="shared" si="58"/>
        <v>3.1110574209737538</v>
      </c>
    </row>
    <row r="134" spans="1:61">
      <c r="A134" s="831" t="s">
        <v>230</v>
      </c>
      <c r="B134" s="422" t="s">
        <v>226</v>
      </c>
      <c r="C134" s="428"/>
      <c r="D134" s="428"/>
      <c r="E134" s="428"/>
      <c r="F134" s="428"/>
      <c r="G134" s="428"/>
      <c r="H134" s="428"/>
      <c r="I134" s="428"/>
      <c r="J134" s="428"/>
      <c r="K134" s="428"/>
      <c r="L134" s="428"/>
      <c r="M134" s="428"/>
      <c r="N134" s="428"/>
      <c r="O134" s="428"/>
      <c r="P134" s="429"/>
      <c r="Q134" s="436">
        <f>AVERAGE(U53:U54)*$B$98*$Q$101*$Q$105/100</f>
        <v>1.3464153346623462</v>
      </c>
      <c r="R134" s="433">
        <f>Q134*Indeksacja!R$61</f>
        <v>1.426079213897838</v>
      </c>
      <c r="S134" s="426">
        <f>R134*Indeksacja!S$61</f>
        <v>1.5115254739070603</v>
      </c>
      <c r="T134" s="426">
        <f>S134*Indeksacja!T$61</f>
        <v>1.604474255588336</v>
      </c>
      <c r="U134" s="426">
        <f>T134*Indeksacja!U$61</f>
        <v>1.6297377789818905</v>
      </c>
      <c r="V134" s="426">
        <f>U134*Indeksacja!V$61</f>
        <v>1.7940930493425971</v>
      </c>
      <c r="W134" s="426">
        <f>V134*Indeksacja!W$61</f>
        <v>1.8514920004654867</v>
      </c>
      <c r="X134" s="426">
        <f>W134*Indeksacja!X$61</f>
        <v>1.9020681494117218</v>
      </c>
      <c r="Y134" s="426">
        <f>X134*Indeksacja!Y$61</f>
        <v>1.9512500212409003</v>
      </c>
      <c r="Z134" s="426">
        <f>Y134*Indeksacja!Z$61</f>
        <v>2.0035576518700573</v>
      </c>
      <c r="AA134" s="426">
        <f>Z134*Indeksacja!AA$61</f>
        <v>2.055960110957888</v>
      </c>
      <c r="AB134" s="426">
        <f>AA134*Indeksacja!AB$61</f>
        <v>2.1100422666731737</v>
      </c>
      <c r="AC134" s="426">
        <f>AB134*Indeksacja!AC$61</f>
        <v>2.1641691435143979</v>
      </c>
      <c r="AD134" s="426">
        <f>AC134*Indeksacja!AD$61</f>
        <v>2.2182631644017201</v>
      </c>
      <c r="AE134" s="426">
        <f>AD134*Indeksacja!AE$61</f>
        <v>2.272241839487716</v>
      </c>
      <c r="AF134" s="426">
        <f>AE134*Indeksacja!AF$61</f>
        <v>2.3278939963008392</v>
      </c>
      <c r="AG134" s="426">
        <f>AF134*Indeksacja!AG$61</f>
        <v>2.383386523377776</v>
      </c>
      <c r="AH134" s="426">
        <f>AG134*Indeksacja!AH$61</f>
        <v>2.4405305619877851</v>
      </c>
      <c r="AI134" s="426">
        <f>AH134*Indeksacja!AI$61</f>
        <v>2.4973905082366197</v>
      </c>
      <c r="AJ134" s="426">
        <f>AI134*Indeksacja!AJ$61</f>
        <v>2.5538426473959639</v>
      </c>
      <c r="AK134" s="426">
        <f>AJ134*Indeksacja!AK$61</f>
        <v>2.609796789027309</v>
      </c>
      <c r="AL134" s="426">
        <f>AK134*Indeksacja!AL$61</f>
        <v>2.6651295151148737</v>
      </c>
      <c r="AM134" s="426">
        <f>AL134*Indeksacja!AM$61</f>
        <v>2.7197154561585224</v>
      </c>
      <c r="AN134" s="426">
        <f>AM134*Indeksacja!AN$61</f>
        <v>2.7734240643690158</v>
      </c>
      <c r="AO134" s="426">
        <f>AN134*Indeksacja!AO$61</f>
        <v>2.8283704063293458</v>
      </c>
      <c r="AP134" s="426">
        <f>AO134*Indeksacja!AP$61</f>
        <v>2.8799984755069881</v>
      </c>
      <c r="AQ134" s="426">
        <f>AP134*Indeksacja!AQ$61</f>
        <v>2.9327100908787553</v>
      </c>
      <c r="AR134" s="426">
        <f>AQ134*Indeksacja!AR$61</f>
        <v>2.9865077189458824</v>
      </c>
      <c r="AS134" s="426">
        <f>AR134*Indeksacja!AS$61</f>
        <v>3.0390161076221727</v>
      </c>
      <c r="AT134" s="426">
        <f>AS134*Indeksacja!AT$61</f>
        <v>3.0901205728044228</v>
      </c>
      <c r="AU134" s="426">
        <f>AT134*Indeksacja!AU$61</f>
        <v>3.1397078159842819</v>
      </c>
      <c r="AV134" s="426">
        <f>AU134*Indeksacja!AV$61</f>
        <v>3.1902014091757516</v>
      </c>
      <c r="AW134" s="426">
        <f>AV134*Indeksacja!AW$61</f>
        <v>3.2415929733671489</v>
      </c>
      <c r="AX134" s="426">
        <f>AW134*Indeksacja!AX$61</f>
        <v>3.2938917171332731</v>
      </c>
      <c r="AY134" s="426">
        <f>AX134*Indeksacja!AY$61</f>
        <v>3.3444430416445452</v>
      </c>
      <c r="AZ134" s="426">
        <f>AY134*Indeksacja!AZ$61</f>
        <v>3.3953239237973221</v>
      </c>
      <c r="BA134" s="426">
        <f>AZ134*Indeksacja!BA$61</f>
        <v>3.4469788852620824</v>
      </c>
      <c r="BB134" s="426">
        <f>BA134*Indeksacja!BB$61</f>
        <v>3.4994197025402527</v>
      </c>
      <c r="BC134" s="426">
        <f>BB134*Indeksacja!BC$61</f>
        <v>3.5526583312957607</v>
      </c>
      <c r="BD134" s="426">
        <f>BC134*Indeksacja!BD$61</f>
        <v>3.6067069090807347</v>
      </c>
      <c r="BE134" s="426">
        <f>BD134*Indeksacja!BE$61</f>
        <v>3.6644773994994031</v>
      </c>
      <c r="BF134" s="426">
        <f>BE134*Indeksacja!BF$61</f>
        <v>3.7231732297494871</v>
      </c>
      <c r="BG134" s="426">
        <f>BF134*Indeksacja!BG$61</f>
        <v>3.7828092214777715</v>
      </c>
      <c r="BH134" s="426">
        <f>BG134*Indeksacja!BH$61</f>
        <v>3.8464416540221911</v>
      </c>
      <c r="BI134" s="426">
        <f>BH134*Indeksacja!BI$61</f>
        <v>3.9111444779700499</v>
      </c>
    </row>
    <row r="135" spans="1:61">
      <c r="A135" s="831"/>
      <c r="B135" s="423" t="s">
        <v>227</v>
      </c>
      <c r="C135" s="430"/>
      <c r="D135" s="430"/>
      <c r="E135" s="430"/>
      <c r="F135" s="430"/>
      <c r="G135" s="430"/>
      <c r="H135" s="430"/>
      <c r="I135" s="430"/>
      <c r="J135" s="430"/>
      <c r="K135" s="430"/>
      <c r="L135" s="430"/>
      <c r="M135" s="430"/>
      <c r="N135" s="430"/>
      <c r="O135" s="430"/>
      <c r="P135" s="431"/>
      <c r="Q135" s="437">
        <f>AVERAGE(U55:U56)*$B$98*$Q$101*$Q$105/100</f>
        <v>2.7948072623153108</v>
      </c>
      <c r="R135" s="434">
        <f>Q135*Indeksacja!R$61</f>
        <v>2.9601687094852491</v>
      </c>
      <c r="S135" s="427">
        <f>R135*Indeksacja!S$61</f>
        <v>3.1375328718381272</v>
      </c>
      <c r="T135" s="427">
        <f>S135*Indeksacja!T$61</f>
        <v>3.330470313486722</v>
      </c>
      <c r="U135" s="427">
        <f>T135*Indeksacja!U$61</f>
        <v>3.3829108025648456</v>
      </c>
      <c r="V135" s="427">
        <f>U135*Indeksacja!V$61</f>
        <v>3.7240695010574565</v>
      </c>
      <c r="W135" s="427">
        <f>V135*Indeksacja!W$61</f>
        <v>3.843214761303444</v>
      </c>
      <c r="X135" s="427">
        <f>W135*Indeksacja!X$61</f>
        <v>3.9481976627424911</v>
      </c>
      <c r="Y135" s="427">
        <f>X135*Indeksacja!Y$61</f>
        <v>4.0502864083351868</v>
      </c>
      <c r="Z135" s="427">
        <f>Y135*Indeksacja!Z$61</f>
        <v>4.1588634143996162</v>
      </c>
      <c r="AA135" s="427">
        <f>Z135*Indeksacja!AA$61</f>
        <v>4.2676372596251513</v>
      </c>
      <c r="AB135" s="427">
        <f>AA135*Indeksacja!AB$61</f>
        <v>4.3798977171998219</v>
      </c>
      <c r="AC135" s="427">
        <f>AB135*Indeksacja!AC$61</f>
        <v>4.4922510041744061</v>
      </c>
      <c r="AD135" s="427">
        <f>AC135*Indeksacja!AD$61</f>
        <v>4.6045360907533084</v>
      </c>
      <c r="AE135" s="427">
        <f>AD135*Indeksacja!AE$61</f>
        <v>4.7165817495160507</v>
      </c>
      <c r="AF135" s="427">
        <f>AE135*Indeksacja!AF$61</f>
        <v>4.8321011201148947</v>
      </c>
      <c r="AG135" s="427">
        <f>AF135*Indeksacja!AG$61</f>
        <v>4.9472891409923792</v>
      </c>
      <c r="AH135" s="427">
        <f>AG135*Indeksacja!AH$61</f>
        <v>5.0659052693101172</v>
      </c>
      <c r="AI135" s="427">
        <f>AH135*Indeksacja!AI$61</f>
        <v>5.1839316959409114</v>
      </c>
      <c r="AJ135" s="427">
        <f>AI135*Indeksacja!AJ$61</f>
        <v>5.3011116213577116</v>
      </c>
      <c r="AK135" s="427">
        <f>AJ135*Indeksacja!AK$61</f>
        <v>5.4172578337202735</v>
      </c>
      <c r="AL135" s="427">
        <f>AK135*Indeksacja!AL$61</f>
        <v>5.5321141493994253</v>
      </c>
      <c r="AM135" s="427">
        <f>AL135*Indeksacja!AM$61</f>
        <v>5.6454203339931732</v>
      </c>
      <c r="AN135" s="427">
        <f>AM135*Indeksacja!AN$61</f>
        <v>5.7569054043211771</v>
      </c>
      <c r="AO135" s="427">
        <f>AN135*Indeksacja!AO$61</f>
        <v>5.8709596872716174</v>
      </c>
      <c r="AP135" s="427">
        <f>AO135*Indeksacja!AP$61</f>
        <v>5.9781261009051772</v>
      </c>
      <c r="AQ135" s="427">
        <f>AP135*Indeksacja!AQ$61</f>
        <v>6.0875416739878556</v>
      </c>
      <c r="AR135" s="427">
        <f>AQ135*Indeksacja!AR$61</f>
        <v>6.1992115263332694</v>
      </c>
      <c r="AS135" s="427">
        <f>AR135*Indeksacja!AS$61</f>
        <v>6.3082052537715958</v>
      </c>
      <c r="AT135" s="427">
        <f>AS135*Indeksacja!AT$61</f>
        <v>6.414284801999492</v>
      </c>
      <c r="AU135" s="427">
        <f>AT135*Indeksacja!AU$61</f>
        <v>6.5172149928473413</v>
      </c>
      <c r="AV135" s="427">
        <f>AU135*Indeksacja!AV$61</f>
        <v>6.6220265300594487</v>
      </c>
      <c r="AW135" s="427">
        <f>AV135*Indeksacja!AW$61</f>
        <v>6.7287020209917321</v>
      </c>
      <c r="AX135" s="427">
        <f>AW135*Indeksacja!AX$61</f>
        <v>6.8372605802450597</v>
      </c>
      <c r="AY135" s="427">
        <f>AX135*Indeksacja!AY$61</f>
        <v>6.9421919526281526</v>
      </c>
      <c r="AZ135" s="427">
        <f>AY135*Indeksacja!AZ$61</f>
        <v>7.0478074007686411</v>
      </c>
      <c r="BA135" s="427">
        <f>AZ135*Indeksacja!BA$61</f>
        <v>7.1550296357801981</v>
      </c>
      <c r="BB135" s="427">
        <f>BA135*Indeksacja!BB$61</f>
        <v>7.2638831026099826</v>
      </c>
      <c r="BC135" s="427">
        <f>BB135*Indeksacja!BC$61</f>
        <v>7.3743926180998045</v>
      </c>
      <c r="BD135" s="427">
        <f>BC135*Indeksacja!BD$61</f>
        <v>7.4865833766439653</v>
      </c>
      <c r="BE135" s="427">
        <f>BD135*Indeksacja!BE$61</f>
        <v>7.60649985561819</v>
      </c>
      <c r="BF135" s="427">
        <f>BE135*Indeksacja!BF$61</f>
        <v>7.7283370988724789</v>
      </c>
      <c r="BG135" s="427">
        <f>BF135*Indeksacja!BG$61</f>
        <v>7.8521258722819729</v>
      </c>
      <c r="BH135" s="427">
        <f>BG135*Indeksacja!BH$61</f>
        <v>7.9842102150665362</v>
      </c>
      <c r="BI135" s="427">
        <f>BH135*Indeksacja!BI$61</f>
        <v>8.1185164113838368</v>
      </c>
    </row>
    <row r="136" spans="1:61">
      <c r="A136" s="831"/>
      <c r="B136" s="421" t="s">
        <v>245</v>
      </c>
      <c r="C136" s="396"/>
      <c r="D136" s="396"/>
      <c r="E136" s="396"/>
      <c r="F136" s="396"/>
      <c r="G136" s="396"/>
      <c r="H136" s="396"/>
      <c r="I136" s="396"/>
      <c r="J136" s="396"/>
      <c r="K136" s="396"/>
      <c r="L136" s="396"/>
      <c r="M136" s="396"/>
      <c r="N136" s="396"/>
      <c r="O136" s="396"/>
      <c r="P136" s="432"/>
      <c r="Q136" s="393">
        <f>Q134*$B$90+Q135*$B$91</f>
        <v>1.5636741238102909</v>
      </c>
      <c r="R136" s="393">
        <f>R134*$B$90+R135*$B$91</f>
        <v>1.6561926382359498</v>
      </c>
      <c r="S136" s="393">
        <f t="shared" ref="S136:BI136" si="59">S134*$B$90+S135*$B$91</f>
        <v>1.7554265835967202</v>
      </c>
      <c r="T136" s="393">
        <f t="shared" si="59"/>
        <v>1.8633736642730938</v>
      </c>
      <c r="U136" s="393">
        <f t="shared" si="59"/>
        <v>1.8927137325193339</v>
      </c>
      <c r="V136" s="393">
        <f t="shared" si="59"/>
        <v>2.083589517099826</v>
      </c>
      <c r="W136" s="393">
        <f t="shared" si="59"/>
        <v>2.1502504145911803</v>
      </c>
      <c r="X136" s="393">
        <f t="shared" si="59"/>
        <v>2.2089875764113374</v>
      </c>
      <c r="Y136" s="393">
        <f t="shared" si="59"/>
        <v>2.2661054793050432</v>
      </c>
      <c r="Z136" s="393">
        <f t="shared" si="59"/>
        <v>2.326853516249491</v>
      </c>
      <c r="AA136" s="393">
        <f t="shared" si="59"/>
        <v>2.3877116832579777</v>
      </c>
      <c r="AB136" s="393">
        <f t="shared" si="59"/>
        <v>2.4505205842521711</v>
      </c>
      <c r="AC136" s="393">
        <f t="shared" si="59"/>
        <v>2.5133814226133993</v>
      </c>
      <c r="AD136" s="393">
        <f t="shared" si="59"/>
        <v>2.5762041033544585</v>
      </c>
      <c r="AE136" s="393">
        <f t="shared" si="59"/>
        <v>2.6388928259919662</v>
      </c>
      <c r="AF136" s="393">
        <f t="shared" si="59"/>
        <v>2.7035250648729479</v>
      </c>
      <c r="AG136" s="393">
        <f t="shared" si="59"/>
        <v>2.7679719160199667</v>
      </c>
      <c r="AH136" s="393">
        <f t="shared" si="59"/>
        <v>2.8343367680861351</v>
      </c>
      <c r="AI136" s="393">
        <f t="shared" si="59"/>
        <v>2.9003716863922637</v>
      </c>
      <c r="AJ136" s="393">
        <f t="shared" si="59"/>
        <v>2.9659329934902261</v>
      </c>
      <c r="AK136" s="393">
        <f t="shared" si="59"/>
        <v>3.0309159457312536</v>
      </c>
      <c r="AL136" s="393">
        <f t="shared" si="59"/>
        <v>3.0951772102575568</v>
      </c>
      <c r="AM136" s="393">
        <f t="shared" si="59"/>
        <v>3.1585711878337199</v>
      </c>
      <c r="AN136" s="393">
        <f t="shared" si="59"/>
        <v>3.2209462653618401</v>
      </c>
      <c r="AO136" s="393">
        <f t="shared" si="59"/>
        <v>3.2847587984706865</v>
      </c>
      <c r="AP136" s="393">
        <f t="shared" si="59"/>
        <v>3.3447176193167167</v>
      </c>
      <c r="AQ136" s="393">
        <f t="shared" si="59"/>
        <v>3.4059348283451207</v>
      </c>
      <c r="AR136" s="393">
        <f t="shared" si="59"/>
        <v>3.4684132900539906</v>
      </c>
      <c r="AS136" s="393">
        <f t="shared" si="59"/>
        <v>3.5293944795445862</v>
      </c>
      <c r="AT136" s="393">
        <f t="shared" si="59"/>
        <v>3.588745207183683</v>
      </c>
      <c r="AU136" s="393">
        <f t="shared" si="59"/>
        <v>3.6463338925137405</v>
      </c>
      <c r="AV136" s="393">
        <f t="shared" si="59"/>
        <v>3.7049751773083064</v>
      </c>
      <c r="AW136" s="393">
        <f t="shared" si="59"/>
        <v>3.7646593305108365</v>
      </c>
      <c r="AX136" s="393">
        <f t="shared" si="59"/>
        <v>3.8253970466000409</v>
      </c>
      <c r="AY136" s="393">
        <f t="shared" si="59"/>
        <v>3.8841053782920865</v>
      </c>
      <c r="AZ136" s="393">
        <f t="shared" si="59"/>
        <v>3.9431964453430202</v>
      </c>
      <c r="BA136" s="393">
        <f t="shared" si="59"/>
        <v>4.0031864978398</v>
      </c>
      <c r="BB136" s="393">
        <f t="shared" si="59"/>
        <v>4.0640892125507122</v>
      </c>
      <c r="BC136" s="393">
        <f t="shared" si="59"/>
        <v>4.125918474316367</v>
      </c>
      <c r="BD136" s="393">
        <f t="shared" si="59"/>
        <v>4.1886883792152201</v>
      </c>
      <c r="BE136" s="393">
        <f t="shared" si="59"/>
        <v>4.255780767917221</v>
      </c>
      <c r="BF136" s="393">
        <f t="shared" si="59"/>
        <v>4.3239478101179358</v>
      </c>
      <c r="BG136" s="393">
        <f t="shared" si="59"/>
        <v>4.3932067190984014</v>
      </c>
      <c r="BH136" s="393">
        <f t="shared" si="59"/>
        <v>4.4671069381788433</v>
      </c>
      <c r="BI136" s="393">
        <f t="shared" si="59"/>
        <v>4.5422502679821175</v>
      </c>
    </row>
    <row r="137" spans="1:61">
      <c r="A137" s="742" t="s">
        <v>819</v>
      </c>
      <c r="B137" s="742"/>
      <c r="C137" s="742"/>
      <c r="D137" s="742"/>
      <c r="E137" s="742"/>
      <c r="F137" s="742"/>
      <c r="G137" s="742"/>
      <c r="H137" s="742"/>
      <c r="I137" s="742"/>
      <c r="J137" s="742"/>
      <c r="K137" s="742"/>
      <c r="L137" s="742"/>
      <c r="M137" s="742"/>
      <c r="N137" s="742"/>
      <c r="O137" s="742"/>
      <c r="P137" s="742"/>
      <c r="Q137" s="742"/>
      <c r="R137" s="742"/>
      <c r="S137" s="742"/>
      <c r="T137" s="742"/>
      <c r="U137" s="742"/>
      <c r="V137" s="742"/>
    </row>
    <row r="138" spans="1:61" s="694" customFormat="1">
      <c r="A138" s="779"/>
      <c r="B138" s="779"/>
      <c r="C138" s="779"/>
      <c r="D138" s="779"/>
      <c r="E138" s="779"/>
      <c r="F138" s="779"/>
      <c r="G138" s="779"/>
      <c r="H138" s="779"/>
      <c r="I138" s="779"/>
      <c r="J138" s="779"/>
      <c r="K138" s="779"/>
      <c r="L138" s="779"/>
      <c r="M138" s="779"/>
      <c r="N138" s="779"/>
      <c r="O138" s="779"/>
      <c r="P138" s="779"/>
      <c r="Q138" s="779"/>
      <c r="R138" s="779"/>
      <c r="S138" s="779"/>
      <c r="T138" s="779"/>
      <c r="U138" s="779"/>
      <c r="V138" s="779"/>
    </row>
    <row r="139" spans="1:61">
      <c r="A139" s="435" t="s">
        <v>69</v>
      </c>
      <c r="B139" s="685" t="s">
        <v>328</v>
      </c>
      <c r="C139" s="671"/>
      <c r="D139" s="671"/>
      <c r="E139" s="671"/>
      <c r="F139" s="671"/>
      <c r="G139" s="671"/>
      <c r="H139" s="671"/>
      <c r="I139" s="671"/>
      <c r="J139" s="671"/>
      <c r="K139" s="671"/>
      <c r="L139" s="671"/>
      <c r="M139" s="671"/>
      <c r="N139" s="671"/>
      <c r="O139" s="671"/>
      <c r="P139" s="674"/>
      <c r="Q139" s="6"/>
      <c r="R139" s="6"/>
      <c r="S139" s="6"/>
      <c r="T139" s="6">
        <v>2020</v>
      </c>
      <c r="U139" s="6">
        <f>T139+1</f>
        <v>2021</v>
      </c>
      <c r="V139" s="6">
        <f t="shared" ref="V139:BI139" si="60">U139+1</f>
        <v>2022</v>
      </c>
      <c r="W139" s="6">
        <f t="shared" si="60"/>
        <v>2023</v>
      </c>
      <c r="X139" s="6">
        <f t="shared" si="60"/>
        <v>2024</v>
      </c>
      <c r="Y139" s="6">
        <f t="shared" si="60"/>
        <v>2025</v>
      </c>
      <c r="Z139" s="6">
        <f t="shared" si="60"/>
        <v>2026</v>
      </c>
      <c r="AA139" s="6">
        <f t="shared" si="60"/>
        <v>2027</v>
      </c>
      <c r="AB139" s="6">
        <f t="shared" si="60"/>
        <v>2028</v>
      </c>
      <c r="AC139" s="6">
        <f t="shared" si="60"/>
        <v>2029</v>
      </c>
      <c r="AD139" s="6">
        <f t="shared" si="60"/>
        <v>2030</v>
      </c>
      <c r="AE139" s="6">
        <f t="shared" si="60"/>
        <v>2031</v>
      </c>
      <c r="AF139" s="6">
        <f t="shared" si="60"/>
        <v>2032</v>
      </c>
      <c r="AG139" s="6">
        <f t="shared" si="60"/>
        <v>2033</v>
      </c>
      <c r="AH139" s="6">
        <f t="shared" si="60"/>
        <v>2034</v>
      </c>
      <c r="AI139" s="6">
        <f t="shared" si="60"/>
        <v>2035</v>
      </c>
      <c r="AJ139" s="6">
        <f t="shared" si="60"/>
        <v>2036</v>
      </c>
      <c r="AK139" s="6">
        <f t="shared" si="60"/>
        <v>2037</v>
      </c>
      <c r="AL139" s="6">
        <f t="shared" si="60"/>
        <v>2038</v>
      </c>
      <c r="AM139" s="6">
        <f t="shared" si="60"/>
        <v>2039</v>
      </c>
      <c r="AN139" s="6">
        <f t="shared" si="60"/>
        <v>2040</v>
      </c>
      <c r="AO139" s="6">
        <f t="shared" si="60"/>
        <v>2041</v>
      </c>
      <c r="AP139" s="6">
        <f t="shared" si="60"/>
        <v>2042</v>
      </c>
      <c r="AQ139" s="6">
        <f t="shared" si="60"/>
        <v>2043</v>
      </c>
      <c r="AR139" s="6">
        <f t="shared" si="60"/>
        <v>2044</v>
      </c>
      <c r="AS139" s="6">
        <f t="shared" si="60"/>
        <v>2045</v>
      </c>
      <c r="AT139" s="6">
        <f t="shared" si="60"/>
        <v>2046</v>
      </c>
      <c r="AU139" s="6">
        <f t="shared" si="60"/>
        <v>2047</v>
      </c>
      <c r="AV139" s="6">
        <f t="shared" si="60"/>
        <v>2048</v>
      </c>
      <c r="AW139" s="6">
        <f t="shared" si="60"/>
        <v>2049</v>
      </c>
      <c r="AX139" s="6">
        <f t="shared" si="60"/>
        <v>2050</v>
      </c>
      <c r="AY139" s="6">
        <f t="shared" si="60"/>
        <v>2051</v>
      </c>
      <c r="AZ139" s="6">
        <f t="shared" si="60"/>
        <v>2052</v>
      </c>
      <c r="BA139" s="6">
        <f t="shared" si="60"/>
        <v>2053</v>
      </c>
      <c r="BB139" s="6">
        <f t="shared" si="60"/>
        <v>2054</v>
      </c>
      <c r="BC139" s="6">
        <f t="shared" si="60"/>
        <v>2055</v>
      </c>
      <c r="BD139" s="6">
        <f t="shared" si="60"/>
        <v>2056</v>
      </c>
      <c r="BE139" s="6">
        <f t="shared" si="60"/>
        <v>2057</v>
      </c>
      <c r="BF139" s="6">
        <f t="shared" si="60"/>
        <v>2058</v>
      </c>
      <c r="BG139" s="6">
        <f t="shared" si="60"/>
        <v>2059</v>
      </c>
      <c r="BH139" s="6">
        <f t="shared" si="60"/>
        <v>2060</v>
      </c>
      <c r="BI139" s="6">
        <f t="shared" si="60"/>
        <v>2061</v>
      </c>
    </row>
    <row r="140" spans="1:61">
      <c r="A140" s="407" t="s">
        <v>242</v>
      </c>
      <c r="B140" s="686" t="s">
        <v>530</v>
      </c>
      <c r="C140" s="681"/>
      <c r="D140" s="681"/>
      <c r="E140" s="681"/>
      <c r="F140" s="681"/>
      <c r="G140" s="681"/>
      <c r="H140" s="681"/>
      <c r="I140" s="681"/>
      <c r="J140" s="681"/>
      <c r="K140" s="681"/>
      <c r="L140" s="681"/>
      <c r="M140" s="681"/>
      <c r="N140" s="681"/>
      <c r="O140" s="681"/>
      <c r="P140" s="687"/>
      <c r="Q140" s="683">
        <f>DATE(2016,12,31)</f>
        <v>42735</v>
      </c>
      <c r="R140" s="683">
        <f>DATE(YEAR(Q140+1),12,31)</f>
        <v>43100</v>
      </c>
      <c r="S140" s="683">
        <f t="shared" ref="S140" si="61">DATE(YEAR(R140+1),12,31)</f>
        <v>43465</v>
      </c>
      <c r="T140" s="683">
        <f>DATE(YEAR(S140+1),12,31)</f>
        <v>43830</v>
      </c>
      <c r="U140" s="683">
        <f t="shared" ref="U140:BI140" si="62">DATE(YEAR(T140+1),12,31)</f>
        <v>44196</v>
      </c>
      <c r="V140" s="683">
        <f t="shared" si="62"/>
        <v>44561</v>
      </c>
      <c r="W140" s="683">
        <f t="shared" si="62"/>
        <v>44926</v>
      </c>
      <c r="X140" s="683">
        <f t="shared" si="62"/>
        <v>45291</v>
      </c>
      <c r="Y140" s="683">
        <f t="shared" si="62"/>
        <v>45657</v>
      </c>
      <c r="Z140" s="683">
        <f t="shared" si="62"/>
        <v>46022</v>
      </c>
      <c r="AA140" s="683">
        <f t="shared" si="62"/>
        <v>46387</v>
      </c>
      <c r="AB140" s="683">
        <f t="shared" si="62"/>
        <v>46752</v>
      </c>
      <c r="AC140" s="683">
        <f t="shared" si="62"/>
        <v>47118</v>
      </c>
      <c r="AD140" s="683">
        <f t="shared" si="62"/>
        <v>47483</v>
      </c>
      <c r="AE140" s="683">
        <f t="shared" si="62"/>
        <v>47848</v>
      </c>
      <c r="AF140" s="683">
        <f t="shared" si="62"/>
        <v>48213</v>
      </c>
      <c r="AG140" s="683">
        <f t="shared" si="62"/>
        <v>48579</v>
      </c>
      <c r="AH140" s="683">
        <f t="shared" si="62"/>
        <v>48944</v>
      </c>
      <c r="AI140" s="683">
        <f t="shared" si="62"/>
        <v>49309</v>
      </c>
      <c r="AJ140" s="683">
        <f t="shared" si="62"/>
        <v>49674</v>
      </c>
      <c r="AK140" s="683">
        <f t="shared" si="62"/>
        <v>50040</v>
      </c>
      <c r="AL140" s="683">
        <f t="shared" si="62"/>
        <v>50405</v>
      </c>
      <c r="AM140" s="683">
        <f t="shared" si="62"/>
        <v>50770</v>
      </c>
      <c r="AN140" s="683">
        <f t="shared" si="62"/>
        <v>51135</v>
      </c>
      <c r="AO140" s="683">
        <f t="shared" si="62"/>
        <v>51501</v>
      </c>
      <c r="AP140" s="683">
        <f t="shared" si="62"/>
        <v>51866</v>
      </c>
      <c r="AQ140" s="683">
        <f t="shared" si="62"/>
        <v>52231</v>
      </c>
      <c r="AR140" s="683">
        <f t="shared" si="62"/>
        <v>52596</v>
      </c>
      <c r="AS140" s="683">
        <f t="shared" si="62"/>
        <v>52962</v>
      </c>
      <c r="AT140" s="683">
        <f t="shared" si="62"/>
        <v>53327</v>
      </c>
      <c r="AU140" s="683">
        <f t="shared" si="62"/>
        <v>53692</v>
      </c>
      <c r="AV140" s="683">
        <f t="shared" si="62"/>
        <v>54057</v>
      </c>
      <c r="AW140" s="683">
        <f t="shared" si="62"/>
        <v>54423</v>
      </c>
      <c r="AX140" s="683">
        <f t="shared" si="62"/>
        <v>54788</v>
      </c>
      <c r="AY140" s="683">
        <f t="shared" si="62"/>
        <v>55153</v>
      </c>
      <c r="AZ140" s="683">
        <f t="shared" si="62"/>
        <v>55518</v>
      </c>
      <c r="BA140" s="683">
        <f t="shared" si="62"/>
        <v>55884</v>
      </c>
      <c r="BB140" s="683">
        <f t="shared" si="62"/>
        <v>56249</v>
      </c>
      <c r="BC140" s="683">
        <f t="shared" si="62"/>
        <v>56614</v>
      </c>
      <c r="BD140" s="683">
        <f t="shared" si="62"/>
        <v>56979</v>
      </c>
      <c r="BE140" s="683">
        <f t="shared" si="62"/>
        <v>57345</v>
      </c>
      <c r="BF140" s="683">
        <f t="shared" si="62"/>
        <v>57710</v>
      </c>
      <c r="BG140" s="683">
        <f t="shared" si="62"/>
        <v>58075</v>
      </c>
      <c r="BH140" s="683">
        <f t="shared" si="62"/>
        <v>58440</v>
      </c>
      <c r="BI140" s="683">
        <f t="shared" si="62"/>
        <v>58806</v>
      </c>
    </row>
    <row r="141" spans="1:61">
      <c r="A141" s="831" t="s">
        <v>89</v>
      </c>
      <c r="B141" s="422" t="s">
        <v>226</v>
      </c>
      <c r="C141" s="428"/>
      <c r="D141" s="428"/>
      <c r="E141" s="428"/>
      <c r="F141" s="428"/>
      <c r="G141" s="428"/>
      <c r="H141" s="428"/>
      <c r="I141" s="428"/>
      <c r="J141" s="428"/>
      <c r="K141" s="428"/>
      <c r="L141" s="428"/>
      <c r="M141" s="428"/>
      <c r="N141" s="428"/>
      <c r="O141" s="428"/>
      <c r="P141" s="429"/>
      <c r="Q141" s="436">
        <f>AVERAGE(V23:V24)*$B$98*$Q$101*$Q$105/100</f>
        <v>2.641193588649754E-3</v>
      </c>
      <c r="R141" s="433">
        <f>Q141*Indeksacja!R$61</f>
        <v>2.7974661159056286E-3</v>
      </c>
      <c r="S141" s="426">
        <f>R141*Indeksacja!S$61</f>
        <v>2.9650816415911362E-3</v>
      </c>
      <c r="T141" s="426">
        <f>S141*Indeksacja!T$61</f>
        <v>3.1474144774771419E-3</v>
      </c>
      <c r="U141" s="426">
        <f>T141*Indeksacja!U$61</f>
        <v>3.1969726296282334E-3</v>
      </c>
      <c r="V141" s="426">
        <f>U141*Indeksacja!V$61</f>
        <v>3.5193798951740889E-3</v>
      </c>
      <c r="W141" s="426">
        <f>V141*Indeksacja!W$61</f>
        <v>3.6319764601404373E-3</v>
      </c>
      <c r="X141" s="426">
        <f>W141*Indeksacja!X$61</f>
        <v>3.7311890856182145E-3</v>
      </c>
      <c r="Y141" s="426">
        <f>X141*Indeksacja!Y$61</f>
        <v>3.8276666295148725E-3</v>
      </c>
      <c r="Z141" s="426">
        <f>Y141*Indeksacja!Z$61</f>
        <v>3.9302758133963342E-3</v>
      </c>
      <c r="AA141" s="426">
        <f>Z141*Indeksacja!AA$61</f>
        <v>4.0330710173791884E-3</v>
      </c>
      <c r="AB141" s="426">
        <f>AA141*Indeksacja!AB$61</f>
        <v>4.1391611956906171E-3</v>
      </c>
      <c r="AC141" s="426">
        <f>AB141*Indeksacja!AC$61</f>
        <v>4.2453391011305665E-3</v>
      </c>
      <c r="AD141" s="426">
        <f>AC141*Indeksacja!AD$61</f>
        <v>4.3514525547386322E-3</v>
      </c>
      <c r="AE141" s="426">
        <f>AD141*Indeksacja!AE$61</f>
        <v>4.4573397404313693E-3</v>
      </c>
      <c r="AF141" s="426">
        <f>AE141*Indeksacja!AF$61</f>
        <v>4.5665097090029265E-3</v>
      </c>
      <c r="AG141" s="426">
        <f>AF141*Indeksacja!AG$61</f>
        <v>4.6753665401458467E-3</v>
      </c>
      <c r="AH141" s="426">
        <f>AG141*Indeksacja!AH$61</f>
        <v>4.7874630563699136E-3</v>
      </c>
      <c r="AI141" s="426">
        <f>AH141*Indeksacja!AI$61</f>
        <v>4.8990022832467771E-3</v>
      </c>
      <c r="AJ141" s="426">
        <f>AI141*Indeksacja!AJ$61</f>
        <v>5.0097415359682375E-3</v>
      </c>
      <c r="AK141" s="426">
        <f>AJ141*Indeksacja!AK$61</f>
        <v>5.1195038925980884E-3</v>
      </c>
      <c r="AL141" s="426">
        <f>AK141*Indeksacja!AL$61</f>
        <v>5.2280472503738219E-3</v>
      </c>
      <c r="AM141" s="426">
        <f>AL141*Indeksacja!AM$61</f>
        <v>5.3351256784066204E-3</v>
      </c>
      <c r="AN141" s="426">
        <f>AM141*Indeksacja!AN$61</f>
        <v>5.4404830878247417E-3</v>
      </c>
      <c r="AO141" s="426">
        <f>AN141*Indeksacja!AO$61</f>
        <v>5.5482684957663224E-3</v>
      </c>
      <c r="AP141" s="426">
        <f>AO141*Indeksacja!AP$61</f>
        <v>5.6495446189624024E-3</v>
      </c>
      <c r="AQ141" s="426">
        <f>AP141*Indeksacja!AQ$61</f>
        <v>5.7529462788983377E-3</v>
      </c>
      <c r="AR141" s="426">
        <f>AQ141*Indeksacja!AR$61</f>
        <v>5.8584783139825148E-3</v>
      </c>
      <c r="AS141" s="426">
        <f>AR141*Indeksacja!AS$61</f>
        <v>5.9614813145810828E-3</v>
      </c>
      <c r="AT141" s="426">
        <f>AS141*Indeksacja!AT$61</f>
        <v>6.061730310797828E-3</v>
      </c>
      <c r="AU141" s="426">
        <f>AT141*Indeksacja!AU$61</f>
        <v>6.1590030507865665E-3</v>
      </c>
      <c r="AV141" s="426">
        <f>AU141*Indeksacja!AV$61</f>
        <v>6.2580537308938632E-3</v>
      </c>
      <c r="AW141" s="426">
        <f>AV141*Indeksacja!AW$61</f>
        <v>6.3588659144442235E-3</v>
      </c>
      <c r="AX141" s="426">
        <f>AW141*Indeksacja!AX$61</f>
        <v>6.4614576654243644E-3</v>
      </c>
      <c r="AY141" s="426">
        <f>AX141*Indeksacja!AY$61</f>
        <v>6.5606215940871406E-3</v>
      </c>
      <c r="AZ141" s="426">
        <f>AY141*Indeksacja!AZ$61</f>
        <v>6.6604319989949689E-3</v>
      </c>
      <c r="BA141" s="426">
        <f>AZ141*Indeksacja!BA$61</f>
        <v>6.7617608754050769E-3</v>
      </c>
      <c r="BB141" s="426">
        <f>BA141*Indeksacja!BB$61</f>
        <v>6.864631324673535E-3</v>
      </c>
      <c r="BC141" s="426">
        <f>BB141*Indeksacja!BC$61</f>
        <v>6.9690667996102603E-3</v>
      </c>
      <c r="BD141" s="426">
        <f>BC141*Indeksacja!BD$61</f>
        <v>7.0750911098258823E-3</v>
      </c>
      <c r="BE141" s="426">
        <f>BD141*Indeksacja!BE$61</f>
        <v>7.188416504285389E-3</v>
      </c>
      <c r="BF141" s="426">
        <f>BE141*Indeksacja!BF$61</f>
        <v>7.3035570902145247E-3</v>
      </c>
      <c r="BG141" s="426">
        <f>BF141*Indeksacja!BG$61</f>
        <v>7.4205419424741102E-3</v>
      </c>
      <c r="BH141" s="426">
        <f>BG141*Indeksacja!BH$61</f>
        <v>7.5453664067681508E-3</v>
      </c>
      <c r="BI141" s="426">
        <f>BH141*Indeksacja!BI$61</f>
        <v>7.6722906027269517E-3</v>
      </c>
    </row>
    <row r="142" spans="1:61">
      <c r="A142" s="831"/>
      <c r="B142" s="423" t="s">
        <v>227</v>
      </c>
      <c r="C142" s="430"/>
      <c r="D142" s="430"/>
      <c r="E142" s="430"/>
      <c r="F142" s="430"/>
      <c r="G142" s="430"/>
      <c r="H142" s="430"/>
      <c r="I142" s="430"/>
      <c r="J142" s="430"/>
      <c r="K142" s="430"/>
      <c r="L142" s="430"/>
      <c r="M142" s="430"/>
      <c r="N142" s="430"/>
      <c r="O142" s="430"/>
      <c r="P142" s="431"/>
      <c r="Q142" s="437">
        <f>AVERAGE(V25:V26)*$B$98*$Q$101*$Q$105/100</f>
        <v>4.8258845817304137E-3</v>
      </c>
      <c r="R142" s="434">
        <f>Q142*Indeksacja!R$61</f>
        <v>5.1114195698028757E-3</v>
      </c>
      <c r="S142" s="427">
        <f>R142*Indeksacja!S$61</f>
        <v>5.4176800364875068E-3</v>
      </c>
      <c r="T142" s="427">
        <f>S142*Indeksacja!T$61</f>
        <v>5.7508313909458873E-3</v>
      </c>
      <c r="U142" s="427">
        <f>T142*Indeksacja!U$61</f>
        <v>5.841382088703437E-3</v>
      </c>
      <c r="V142" s="427">
        <f>U142*Indeksacja!V$61</f>
        <v>6.4304719072316666E-3</v>
      </c>
      <c r="W142" s="427">
        <f>V142*Indeksacja!W$61</f>
        <v>6.6362039024788219E-3</v>
      </c>
      <c r="X142" s="427">
        <f>W142*Indeksacja!X$61</f>
        <v>6.8174812922406859E-3</v>
      </c>
      <c r="Y142" s="427">
        <f>X142*Indeksacja!Y$61</f>
        <v>6.9937612489901352E-3</v>
      </c>
      <c r="Z142" s="427">
        <f>Y142*Indeksacja!Z$61</f>
        <v>7.1812446960821882E-3</v>
      </c>
      <c r="AA142" s="427">
        <f>Z142*Indeksacja!AA$61</f>
        <v>7.3690680317545637E-3</v>
      </c>
      <c r="AB142" s="427">
        <f>AA142*Indeksacja!AB$61</f>
        <v>7.5629118143482853E-3</v>
      </c>
      <c r="AC142" s="427">
        <f>AB142*Indeksacja!AC$61</f>
        <v>7.7569158884854767E-3</v>
      </c>
      <c r="AD142" s="427">
        <f>AC142*Indeksacja!AD$61</f>
        <v>7.9508021987816958E-3</v>
      </c>
      <c r="AE142" s="427">
        <f>AD142*Indeksacja!AE$61</f>
        <v>8.1442750812820066E-3</v>
      </c>
      <c r="AF142" s="427">
        <f>AE142*Indeksacja!AF$61</f>
        <v>8.3437461349683082E-3</v>
      </c>
      <c r="AG142" s="427">
        <f>AF142*Indeksacja!AG$61</f>
        <v>8.5426450363158667E-3</v>
      </c>
      <c r="AH142" s="427">
        <f>AG142*Indeksacja!AH$61</f>
        <v>8.747463362256137E-3</v>
      </c>
      <c r="AI142" s="427">
        <f>AH142*Indeksacja!AI$61</f>
        <v>8.951263431117568E-3</v>
      </c>
      <c r="AJ142" s="427">
        <f>AI142*Indeksacja!AJ$61</f>
        <v>9.1536018188061626E-3</v>
      </c>
      <c r="AK142" s="427">
        <f>AJ142*Indeksacja!AK$61</f>
        <v>9.3541552605495935E-3</v>
      </c>
      <c r="AL142" s="427">
        <f>AK142*Indeksacja!AL$61</f>
        <v>9.5524813957447614E-3</v>
      </c>
      <c r="AM142" s="427">
        <f>AL142*Indeksacja!AM$61</f>
        <v>9.748130869187405E-3</v>
      </c>
      <c r="AN142" s="427">
        <f>AM142*Indeksacja!AN$61</f>
        <v>9.9406357654081689E-3</v>
      </c>
      <c r="AO142" s="427">
        <f>AN142*Indeksacja!AO$61</f>
        <v>1.0137577004610069E-2</v>
      </c>
      <c r="AP142" s="427">
        <f>AO142*Indeksacja!AP$61</f>
        <v>1.0322624735881919E-2</v>
      </c>
      <c r="AQ142" s="427">
        <f>AP142*Indeksacja!AQ$61</f>
        <v>1.051155616391301E-2</v>
      </c>
      <c r="AR142" s="427">
        <f>AQ142*Indeksacja!AR$61</f>
        <v>1.0704380129251999E-2</v>
      </c>
      <c r="AS142" s="427">
        <f>AR142*Indeksacja!AS$61</f>
        <v>1.0892583142691358E-2</v>
      </c>
      <c r="AT142" s="427">
        <f>AS142*Indeksacja!AT$61</f>
        <v>1.1075754148124424E-2</v>
      </c>
      <c r="AU142" s="427">
        <f>AT142*Indeksacja!AU$61</f>
        <v>1.1253487055758168E-2</v>
      </c>
      <c r="AV142" s="427">
        <f>AU142*Indeksacja!AV$61</f>
        <v>1.1434468545336932E-2</v>
      </c>
      <c r="AW142" s="427">
        <f>AV142*Indeksacja!AW$61</f>
        <v>1.1618668584416602E-2</v>
      </c>
      <c r="AX142" s="427">
        <f>AW142*Indeksacja!AX$61</f>
        <v>1.180612017880007E-2</v>
      </c>
      <c r="AY142" s="427">
        <f>AX142*Indeksacja!AY$61</f>
        <v>1.1987308591665389E-2</v>
      </c>
      <c r="AZ142" s="427">
        <f>AY142*Indeksacja!AZ$61</f>
        <v>1.2169678220385866E-2</v>
      </c>
      <c r="BA142" s="427">
        <f>AZ142*Indeksacja!BA$61</f>
        <v>1.235482234024631E-2</v>
      </c>
      <c r="BB142" s="427">
        <f>BA142*Indeksacja!BB$61</f>
        <v>1.2542783161131887E-2</v>
      </c>
      <c r="BC142" s="427">
        <f>BB142*Indeksacja!BC$61</f>
        <v>1.2733603535090348E-2</v>
      </c>
      <c r="BD142" s="427">
        <f>BC142*Indeksacja!BD$61</f>
        <v>1.2927326966101608E-2</v>
      </c>
      <c r="BE142" s="427">
        <f>BD142*Indeksacja!BE$61</f>
        <v>1.3134390649805398E-2</v>
      </c>
      <c r="BF142" s="427">
        <f>BE142*Indeksacja!BF$61</f>
        <v>1.3344770979651225E-2</v>
      </c>
      <c r="BG142" s="427">
        <f>BF142*Indeksacja!BG$61</f>
        <v>1.3558521080076146E-2</v>
      </c>
      <c r="BH142" s="427">
        <f>BG142*Indeksacja!BH$61</f>
        <v>1.3786595409897356E-2</v>
      </c>
      <c r="BI142" s="427">
        <f>BH142*Indeksacja!BI$61</f>
        <v>1.4018506286464054E-2</v>
      </c>
    </row>
    <row r="143" spans="1:61">
      <c r="A143" s="831"/>
      <c r="B143" s="421" t="s">
        <v>245</v>
      </c>
      <c r="C143" s="396"/>
      <c r="D143" s="396"/>
      <c r="E143" s="396"/>
      <c r="F143" s="396"/>
      <c r="G143" s="396"/>
      <c r="H143" s="396"/>
      <c r="I143" s="396"/>
      <c r="J143" s="396"/>
      <c r="K143" s="396"/>
      <c r="L143" s="396"/>
      <c r="M143" s="396"/>
      <c r="N143" s="396"/>
      <c r="O143" s="396"/>
      <c r="P143" s="432"/>
      <c r="Q143" s="393">
        <f>Q141*$B$90+Q142*$B$91</f>
        <v>2.9688972376118528E-3</v>
      </c>
      <c r="R143" s="393">
        <f>R141*$B$90+R142*$B$91</f>
        <v>3.1445591339902155E-3</v>
      </c>
      <c r="S143" s="393">
        <f t="shared" ref="S143:BI143" si="63">S141*$B$90+S142*$B$91</f>
        <v>3.332971400825592E-3</v>
      </c>
      <c r="T143" s="393">
        <f t="shared" si="63"/>
        <v>3.5379270144974538E-3</v>
      </c>
      <c r="U143" s="393">
        <f t="shared" si="63"/>
        <v>3.5936340484895141E-3</v>
      </c>
      <c r="V143" s="393">
        <f t="shared" si="63"/>
        <v>3.9560436969827252E-3</v>
      </c>
      <c r="W143" s="393">
        <f t="shared" si="63"/>
        <v>4.0826105764911955E-3</v>
      </c>
      <c r="X143" s="393">
        <f t="shared" si="63"/>
        <v>4.194132916611585E-3</v>
      </c>
      <c r="Y143" s="393">
        <f t="shared" si="63"/>
        <v>4.302580822436162E-3</v>
      </c>
      <c r="Z143" s="393">
        <f t="shared" si="63"/>
        <v>4.4179211457992121E-3</v>
      </c>
      <c r="AA143" s="393">
        <f t="shared" si="63"/>
        <v>4.5334705695354947E-3</v>
      </c>
      <c r="AB143" s="393">
        <f t="shared" si="63"/>
        <v>4.652723788489267E-3</v>
      </c>
      <c r="AC143" s="393">
        <f t="shared" si="63"/>
        <v>4.7720756192338029E-3</v>
      </c>
      <c r="AD143" s="393">
        <f t="shared" si="63"/>
        <v>4.8913550013450916E-3</v>
      </c>
      <c r="AE143" s="393">
        <f t="shared" si="63"/>
        <v>5.0103800415589646E-3</v>
      </c>
      <c r="AF143" s="393">
        <f t="shared" si="63"/>
        <v>5.1330951728977333E-3</v>
      </c>
      <c r="AG143" s="393">
        <f t="shared" si="63"/>
        <v>5.2554583145713492E-3</v>
      </c>
      <c r="AH143" s="393">
        <f t="shared" si="63"/>
        <v>5.3814631022528472E-3</v>
      </c>
      <c r="AI143" s="393">
        <f t="shared" si="63"/>
        <v>5.5068414554273956E-3</v>
      </c>
      <c r="AJ143" s="393">
        <f t="shared" si="63"/>
        <v>5.6313205783939261E-3</v>
      </c>
      <c r="AK143" s="393">
        <f t="shared" si="63"/>
        <v>5.7547015977908143E-3</v>
      </c>
      <c r="AL143" s="393">
        <f t="shared" si="63"/>
        <v>5.8767123721794627E-3</v>
      </c>
      <c r="AM143" s="393">
        <f t="shared" si="63"/>
        <v>5.9970764570237379E-3</v>
      </c>
      <c r="AN143" s="393">
        <f t="shared" si="63"/>
        <v>6.1155059894622554E-3</v>
      </c>
      <c r="AO143" s="393">
        <f t="shared" si="63"/>
        <v>6.2366647720928838E-3</v>
      </c>
      <c r="AP143" s="393">
        <f t="shared" si="63"/>
        <v>6.3505066365003304E-3</v>
      </c>
      <c r="AQ143" s="393">
        <f t="shared" si="63"/>
        <v>6.4667377616505388E-3</v>
      </c>
      <c r="AR143" s="393">
        <f t="shared" si="63"/>
        <v>6.5853635862729376E-3</v>
      </c>
      <c r="AS143" s="393">
        <f t="shared" si="63"/>
        <v>6.7011465887976242E-3</v>
      </c>
      <c r="AT143" s="393">
        <f t="shared" si="63"/>
        <v>6.813833886396818E-3</v>
      </c>
      <c r="AU143" s="393">
        <f t="shared" si="63"/>
        <v>6.9231756515323066E-3</v>
      </c>
      <c r="AV143" s="393">
        <f t="shared" si="63"/>
        <v>7.0345159530603232E-3</v>
      </c>
      <c r="AW143" s="393">
        <f t="shared" si="63"/>
        <v>7.1478363149400804E-3</v>
      </c>
      <c r="AX143" s="393">
        <f t="shared" si="63"/>
        <v>7.2631570424307196E-3</v>
      </c>
      <c r="AY143" s="393">
        <f t="shared" si="63"/>
        <v>7.3746246437238778E-3</v>
      </c>
      <c r="AZ143" s="393">
        <f t="shared" si="63"/>
        <v>7.4868189322036035E-3</v>
      </c>
      <c r="BA143" s="393">
        <f t="shared" si="63"/>
        <v>7.6007200951312623E-3</v>
      </c>
      <c r="BB143" s="393">
        <f t="shared" si="63"/>
        <v>7.7163541001422876E-3</v>
      </c>
      <c r="BC143" s="393">
        <f t="shared" si="63"/>
        <v>7.8337473099322728E-3</v>
      </c>
      <c r="BD143" s="393">
        <f t="shared" si="63"/>
        <v>7.9529264882672417E-3</v>
      </c>
      <c r="BE143" s="393">
        <f t="shared" si="63"/>
        <v>8.0803126261133913E-3</v>
      </c>
      <c r="BF143" s="393">
        <f t="shared" si="63"/>
        <v>8.2097391736300311E-3</v>
      </c>
      <c r="BG143" s="393">
        <f t="shared" si="63"/>
        <v>8.3412388131144152E-3</v>
      </c>
      <c r="BH143" s="393">
        <f t="shared" si="63"/>
        <v>8.4815507572375323E-3</v>
      </c>
      <c r="BI143" s="393">
        <f t="shared" si="63"/>
        <v>8.6242229552875166E-3</v>
      </c>
    </row>
    <row r="144" spans="1:61">
      <c r="A144" s="831" t="s">
        <v>180</v>
      </c>
      <c r="B144" s="422" t="s">
        <v>226</v>
      </c>
      <c r="C144" s="428"/>
      <c r="D144" s="428"/>
      <c r="E144" s="428"/>
      <c r="F144" s="428"/>
      <c r="G144" s="428"/>
      <c r="H144" s="428"/>
      <c r="I144" s="428"/>
      <c r="J144" s="428"/>
      <c r="K144" s="428"/>
      <c r="L144" s="428"/>
      <c r="M144" s="428"/>
      <c r="N144" s="428"/>
      <c r="O144" s="428"/>
      <c r="P144" s="429"/>
      <c r="Q144" s="436">
        <f>AVERAGE(V27:V28)*$B$98*$Q$101*$Q$105/100</f>
        <v>3.2830185378563095E-2</v>
      </c>
      <c r="R144" s="433">
        <f>Q144*Indeksacja!R$61</f>
        <v>3.4772661712533653E-2</v>
      </c>
      <c r="S144" s="426">
        <f>R144*Indeksacja!S$61</f>
        <v>3.6856132157194896E-2</v>
      </c>
      <c r="T144" s="426">
        <f>S144*Indeksacja!T$61</f>
        <v>3.9122539598308255E-2</v>
      </c>
      <c r="U144" s="426">
        <f>T144*Indeksacja!U$61</f>
        <v>3.9738550226658724E-2</v>
      </c>
      <c r="V144" s="426">
        <f>U144*Indeksacja!V$61</f>
        <v>4.3746090734386983E-2</v>
      </c>
      <c r="W144" s="426">
        <f>V144*Indeksacja!W$61</f>
        <v>4.514567239198309E-2</v>
      </c>
      <c r="X144" s="426">
        <f>W144*Indeksacja!X$61</f>
        <v>4.6378890926333127E-2</v>
      </c>
      <c r="Y144" s="426">
        <f>X144*Indeksacja!Y$61</f>
        <v>4.757811224225908E-2</v>
      </c>
      <c r="Z144" s="426">
        <f>Y144*Indeksacja!Z$61</f>
        <v>4.8853550189272121E-2</v>
      </c>
      <c r="AA144" s="426">
        <f>Z144*Indeksacja!AA$61</f>
        <v>5.0131300376644636E-2</v>
      </c>
      <c r="AB144" s="426">
        <f>AA144*Indeksacja!AB$61</f>
        <v>5.145000728089303E-2</v>
      </c>
      <c r="AC144" s="426">
        <f>AB144*Indeksacja!AC$61</f>
        <v>5.276980463830034E-2</v>
      </c>
      <c r="AD144" s="426">
        <f>AC144*Indeksacja!AD$61</f>
        <v>5.4088800855799611E-2</v>
      </c>
      <c r="AE144" s="426">
        <f>AD144*Indeksacja!AE$61</f>
        <v>5.5404984550340562E-2</v>
      </c>
      <c r="AF144" s="426">
        <f>AE144*Indeksacja!AF$61</f>
        <v>5.6761973421348838E-2</v>
      </c>
      <c r="AG144" s="426">
        <f>AF144*Indeksacja!AG$61</f>
        <v>5.8115069976445367E-2</v>
      </c>
      <c r="AH144" s="426">
        <f>AG144*Indeksacja!AH$61</f>
        <v>5.9508435999951655E-2</v>
      </c>
      <c r="AI144" s="426">
        <f>AH144*Indeksacja!AI$61</f>
        <v>6.089487488541824E-2</v>
      </c>
      <c r="AJ144" s="426">
        <f>AI144*Indeksacja!AJ$61</f>
        <v>6.2271370046981807E-2</v>
      </c>
      <c r="AK144" s="426">
        <f>AJ144*Indeksacja!AK$61</f>
        <v>6.3635722334989667E-2</v>
      </c>
      <c r="AL144" s="426">
        <f>AK144*Indeksacja!AL$61</f>
        <v>6.498492239843931E-2</v>
      </c>
      <c r="AM144" s="426">
        <f>AL144*Indeksacja!AM$61</f>
        <v>6.6315913302502139E-2</v>
      </c>
      <c r="AN144" s="426">
        <f>AM144*Indeksacja!AN$61</f>
        <v>6.7625511848048492E-2</v>
      </c>
      <c r="AO144" s="426">
        <f>AN144*Indeksacja!AO$61</f>
        <v>6.8965290552280151E-2</v>
      </c>
      <c r="AP144" s="426">
        <f>AO144*Indeksacja!AP$61</f>
        <v>7.0224158479734608E-2</v>
      </c>
      <c r="AQ144" s="426">
        <f>AP144*Indeksacja!AQ$61</f>
        <v>7.1509446948832905E-2</v>
      </c>
      <c r="AR144" s="426">
        <f>AQ144*Indeksacja!AR$61</f>
        <v>7.282121610126438E-2</v>
      </c>
      <c r="AS144" s="426">
        <f>AR144*Indeksacja!AS$61</f>
        <v>7.4101549212298473E-2</v>
      </c>
      <c r="AT144" s="426">
        <f>AS144*Indeksacja!AT$61</f>
        <v>7.5347649893427709E-2</v>
      </c>
      <c r="AU144" s="426">
        <f>AT144*Indeksacja!AU$61</f>
        <v>7.6556755541659888E-2</v>
      </c>
      <c r="AV144" s="426">
        <f>AU144*Indeksacja!AV$61</f>
        <v>7.7787961085914487E-2</v>
      </c>
      <c r="AW144" s="426">
        <f>AV144*Indeksacja!AW$61</f>
        <v>7.9041062217387423E-2</v>
      </c>
      <c r="AX144" s="426">
        <f>AW144*Indeksacja!AX$61</f>
        <v>8.031628347245312E-2</v>
      </c>
      <c r="AY144" s="426">
        <f>AX144*Indeksacja!AY$61</f>
        <v>8.1548896702644202E-2</v>
      </c>
      <c r="AZ144" s="426">
        <f>AY144*Indeksacja!AZ$61</f>
        <v>8.2789545669049058E-2</v>
      </c>
      <c r="BA144" s="426">
        <f>AZ144*Indeksacja!BA$61</f>
        <v>8.4049069321931319E-2</v>
      </c>
      <c r="BB144" s="426">
        <f>BA144*Indeksacja!BB$61</f>
        <v>8.5327754812450807E-2</v>
      </c>
      <c r="BC144" s="426">
        <f>BB144*Indeksacja!BC$61</f>
        <v>8.6625893660358499E-2</v>
      </c>
      <c r="BD144" s="426">
        <f>BC144*Indeksacja!BD$61</f>
        <v>8.7943781820458353E-2</v>
      </c>
      <c r="BE144" s="426">
        <f>BD144*Indeksacja!BE$61</f>
        <v>8.9352422869790296E-2</v>
      </c>
      <c r="BF144" s="426">
        <f>BE144*Indeksacja!BF$61</f>
        <v>9.0783626851540969E-2</v>
      </c>
      <c r="BG144" s="426">
        <f>BF144*Indeksacja!BG$61</f>
        <v>9.2237755167871402E-2</v>
      </c>
      <c r="BH144" s="426">
        <f>BG144*Indeksacja!BH$61</f>
        <v>9.3789330304265783E-2</v>
      </c>
      <c r="BI144" s="426">
        <f>BH144*Indeksacja!BI$61</f>
        <v>9.5367005223764109E-2</v>
      </c>
    </row>
    <row r="145" spans="1:61">
      <c r="A145" s="831"/>
      <c r="B145" s="423" t="s">
        <v>227</v>
      </c>
      <c r="C145" s="430"/>
      <c r="D145" s="430"/>
      <c r="E145" s="430"/>
      <c r="F145" s="430"/>
      <c r="G145" s="430"/>
      <c r="H145" s="430"/>
      <c r="I145" s="430"/>
      <c r="J145" s="430"/>
      <c r="K145" s="430"/>
      <c r="L145" s="430"/>
      <c r="M145" s="430"/>
      <c r="N145" s="430"/>
      <c r="O145" s="430"/>
      <c r="P145" s="431"/>
      <c r="Q145" s="437">
        <f>AVERAGE(V29:V30)*$B$98*$Q$101*$Q$105/100</f>
        <v>5.9789198958012761E-2</v>
      </c>
      <c r="R145" s="434">
        <f>Q145*Indeksacja!R$61</f>
        <v>6.3326769722959808E-2</v>
      </c>
      <c r="S145" s="427">
        <f>R145*Indeksacja!S$61</f>
        <v>6.7121114089358946E-2</v>
      </c>
      <c r="T145" s="427">
        <f>S145*Indeksacja!T$61</f>
        <v>7.1248616991158822E-2</v>
      </c>
      <c r="U145" s="427">
        <f>T145*Indeksacja!U$61</f>
        <v>7.2370474257391196E-2</v>
      </c>
      <c r="V145" s="427">
        <f>U145*Indeksacja!V$61</f>
        <v>7.966886852431225E-2</v>
      </c>
      <c r="W145" s="427">
        <f>V145*Indeksacja!W$61</f>
        <v>8.2217738267784335E-2</v>
      </c>
      <c r="X145" s="427">
        <f>W145*Indeksacja!X$61</f>
        <v>8.4463633240924166E-2</v>
      </c>
      <c r="Y145" s="427">
        <f>X145*Indeksacja!Y$61</f>
        <v>8.6647613654857625E-2</v>
      </c>
      <c r="Z145" s="427">
        <f>Y145*Indeksacja!Z$61</f>
        <v>8.8970397163182113E-2</v>
      </c>
      <c r="AA145" s="427">
        <f>Z145*Indeksacja!AA$61</f>
        <v>9.1297391643735279E-2</v>
      </c>
      <c r="AB145" s="427">
        <f>AA145*Indeksacja!AB$61</f>
        <v>9.3698975081545982E-2</v>
      </c>
      <c r="AC145" s="427">
        <f>AB145*Indeksacja!AC$61</f>
        <v>9.6102544414962243E-2</v>
      </c>
      <c r="AD145" s="427">
        <f>AC145*Indeksacja!AD$61</f>
        <v>9.8504654740066408E-2</v>
      </c>
      <c r="AE145" s="427">
        <f>AD145*Indeksacja!AE$61</f>
        <v>0.10090164299556328</v>
      </c>
      <c r="AF145" s="427">
        <f>AE145*Indeksacja!AF$61</f>
        <v>0.10337294422816309</v>
      </c>
      <c r="AG145" s="427">
        <f>AF145*Indeksacja!AG$61</f>
        <v>0.10583715690954787</v>
      </c>
      <c r="AH145" s="427">
        <f>AG145*Indeksacja!AH$61</f>
        <v>0.10837470695503588</v>
      </c>
      <c r="AI145" s="427">
        <f>AH145*Indeksacja!AI$61</f>
        <v>0.11089964153613678</v>
      </c>
      <c r="AJ145" s="427">
        <f>AI145*Indeksacja!AJ$61</f>
        <v>0.11340646695093339</v>
      </c>
      <c r="AK145" s="427">
        <f>AJ145*Indeksacja!AK$61</f>
        <v>0.11589117818408366</v>
      </c>
      <c r="AL145" s="427">
        <f>AK145*Indeksacja!AL$61</f>
        <v>0.11834829470954888</v>
      </c>
      <c r="AM145" s="427">
        <f>AL145*Indeksacja!AM$61</f>
        <v>0.12077224934327083</v>
      </c>
      <c r="AN145" s="427">
        <f>AM145*Indeksacja!AN$61</f>
        <v>0.12315724495300998</v>
      </c>
      <c r="AO145" s="427">
        <f>AN145*Indeksacja!AO$61</f>
        <v>0.12559720362468169</v>
      </c>
      <c r="AP145" s="427">
        <f>AO145*Indeksacja!AP$61</f>
        <v>0.12788981038606725</v>
      </c>
      <c r="AQ145" s="427">
        <f>AP145*Indeksacja!AQ$61</f>
        <v>0.1302305333247667</v>
      </c>
      <c r="AR145" s="427">
        <f>AQ145*Indeksacja!AR$61</f>
        <v>0.13261948196874607</v>
      </c>
      <c r="AS145" s="427">
        <f>AR145*Indeksacja!AS$61</f>
        <v>0.13495118038060253</v>
      </c>
      <c r="AT145" s="427">
        <f>AS145*Indeksacja!AT$61</f>
        <v>0.13722053587423305</v>
      </c>
      <c r="AU145" s="427">
        <f>AT145*Indeksacja!AU$61</f>
        <v>0.1394225172925474</v>
      </c>
      <c r="AV145" s="427">
        <f>AU145*Indeksacja!AV$61</f>
        <v>0.14166474627769693</v>
      </c>
      <c r="AW145" s="427">
        <f>AV145*Indeksacja!AW$61</f>
        <v>0.14394685074954885</v>
      </c>
      <c r="AX145" s="427">
        <f>AW145*Indeksacja!AX$61</f>
        <v>0.14626923962598801</v>
      </c>
      <c r="AY145" s="427">
        <f>AX145*Indeksacja!AY$61</f>
        <v>0.14851403224011361</v>
      </c>
      <c r="AZ145" s="427">
        <f>AY145*Indeksacja!AZ$61</f>
        <v>0.15077345925930638</v>
      </c>
      <c r="BA145" s="427">
        <f>AZ145*Indeksacja!BA$61</f>
        <v>0.15306726020517838</v>
      </c>
      <c r="BB145" s="427">
        <f>BA145*Indeksacja!BB$61</f>
        <v>0.15539595802749753</v>
      </c>
      <c r="BC145" s="427">
        <f>BB145*Indeksacja!BC$61</f>
        <v>0.15776008363195904</v>
      </c>
      <c r="BD145" s="427">
        <f>BC145*Indeksacja!BD$61</f>
        <v>0.16016017600122326</v>
      </c>
      <c r="BE145" s="427">
        <f>BD145*Indeksacja!BE$61</f>
        <v>0.1627255443958204</v>
      </c>
      <c r="BF145" s="427">
        <f>BE145*Indeksacja!BF$61</f>
        <v>0.1653320036231346</v>
      </c>
      <c r="BG145" s="427">
        <f>BF145*Indeksacja!BG$61</f>
        <v>0.16798021185629097</v>
      </c>
      <c r="BH145" s="427">
        <f>BG145*Indeksacja!BH$61</f>
        <v>0.17080588687026038</v>
      </c>
      <c r="BI145" s="427">
        <f>BH145*Indeksacja!BI$61</f>
        <v>0.17367909390717665</v>
      </c>
    </row>
    <row r="146" spans="1:61">
      <c r="A146" s="831"/>
      <c r="B146" s="421" t="s">
        <v>245</v>
      </c>
      <c r="C146" s="396"/>
      <c r="D146" s="396"/>
      <c r="E146" s="396"/>
      <c r="F146" s="396"/>
      <c r="G146" s="396"/>
      <c r="H146" s="396"/>
      <c r="I146" s="396"/>
      <c r="J146" s="396"/>
      <c r="K146" s="396"/>
      <c r="L146" s="396"/>
      <c r="M146" s="396"/>
      <c r="N146" s="396"/>
      <c r="O146" s="396"/>
      <c r="P146" s="432"/>
      <c r="Q146" s="393">
        <f>Q144*$B$90+Q145*$B$91</f>
        <v>3.6874037415480551E-2</v>
      </c>
      <c r="R146" s="393">
        <f>R144*$B$90+R145*$B$91</f>
        <v>3.9055777914097575E-2</v>
      </c>
      <c r="S146" s="393">
        <f t="shared" ref="S146:BI146" si="64">S144*$B$90+S145*$B$91</f>
        <v>4.1395879447019508E-2</v>
      </c>
      <c r="T146" s="393">
        <f t="shared" si="64"/>
        <v>4.3941451207235839E-2</v>
      </c>
      <c r="U146" s="393">
        <f t="shared" si="64"/>
        <v>4.4633338831268597E-2</v>
      </c>
      <c r="V146" s="393">
        <f t="shared" si="64"/>
        <v>4.9134507402875768E-2</v>
      </c>
      <c r="W146" s="393">
        <f t="shared" si="64"/>
        <v>5.0706482273353275E-2</v>
      </c>
      <c r="X146" s="393">
        <f t="shared" si="64"/>
        <v>5.2091602273521782E-2</v>
      </c>
      <c r="Y146" s="393">
        <f t="shared" si="64"/>
        <v>5.3438537454148866E-2</v>
      </c>
      <c r="Z146" s="393">
        <f t="shared" si="64"/>
        <v>5.4871077235358619E-2</v>
      </c>
      <c r="AA146" s="393">
        <f t="shared" si="64"/>
        <v>5.6306214066708229E-2</v>
      </c>
      <c r="AB146" s="393">
        <f t="shared" si="64"/>
        <v>5.7787352450990974E-2</v>
      </c>
      <c r="AC146" s="393">
        <f t="shared" si="64"/>
        <v>5.9269715604799628E-2</v>
      </c>
      <c r="AD146" s="393">
        <f t="shared" si="64"/>
        <v>6.0751178938439634E-2</v>
      </c>
      <c r="AE146" s="393">
        <f t="shared" si="64"/>
        <v>6.2229483317123968E-2</v>
      </c>
      <c r="AF146" s="393">
        <f t="shared" si="64"/>
        <v>6.3753619042370979E-2</v>
      </c>
      <c r="AG146" s="393">
        <f t="shared" si="64"/>
        <v>6.5273383016410738E-2</v>
      </c>
      <c r="AH146" s="393">
        <f t="shared" si="64"/>
        <v>6.6838376643214292E-2</v>
      </c>
      <c r="AI146" s="393">
        <f t="shared" si="64"/>
        <v>6.839558988302602E-2</v>
      </c>
      <c r="AJ146" s="393">
        <f t="shared" si="64"/>
        <v>6.9941634582574547E-2</v>
      </c>
      <c r="AK146" s="393">
        <f t="shared" si="64"/>
        <v>7.1474040712353762E-2</v>
      </c>
      <c r="AL146" s="393">
        <f t="shared" si="64"/>
        <v>7.298942824510575E-2</v>
      </c>
      <c r="AM146" s="393">
        <f t="shared" si="64"/>
        <v>7.448436370861744E-2</v>
      </c>
      <c r="AN146" s="393">
        <f t="shared" si="64"/>
        <v>7.5955271813792719E-2</v>
      </c>
      <c r="AO146" s="393">
        <f t="shared" si="64"/>
        <v>7.746007751314038E-2</v>
      </c>
      <c r="AP146" s="393">
        <f t="shared" si="64"/>
        <v>7.8874006265684499E-2</v>
      </c>
      <c r="AQ146" s="393">
        <f t="shared" si="64"/>
        <v>8.0317609905222978E-2</v>
      </c>
      <c r="AR146" s="393">
        <f t="shared" si="64"/>
        <v>8.1790955981386637E-2</v>
      </c>
      <c r="AS146" s="393">
        <f t="shared" si="64"/>
        <v>8.3228993887544095E-2</v>
      </c>
      <c r="AT146" s="393">
        <f t="shared" si="64"/>
        <v>8.4628582790548509E-2</v>
      </c>
      <c r="AU146" s="393">
        <f t="shared" si="64"/>
        <v>8.5986619804293007E-2</v>
      </c>
      <c r="AV146" s="393">
        <f t="shared" si="64"/>
        <v>8.7369478864681854E-2</v>
      </c>
      <c r="AW146" s="393">
        <f t="shared" si="64"/>
        <v>8.8776930497211637E-2</v>
      </c>
      <c r="AX146" s="393">
        <f t="shared" si="64"/>
        <v>9.0209226895483358E-2</v>
      </c>
      <c r="AY146" s="393">
        <f t="shared" si="64"/>
        <v>9.1593667033264603E-2</v>
      </c>
      <c r="AZ146" s="393">
        <f t="shared" si="64"/>
        <v>9.2987132707587655E-2</v>
      </c>
      <c r="BA146" s="393">
        <f t="shared" si="64"/>
        <v>9.4401797954418373E-2</v>
      </c>
      <c r="BB146" s="393">
        <f t="shared" si="64"/>
        <v>9.5837985294707814E-2</v>
      </c>
      <c r="BC146" s="393">
        <f t="shared" si="64"/>
        <v>9.7296022156098588E-2</v>
      </c>
      <c r="BD146" s="393">
        <f t="shared" si="64"/>
        <v>9.8776240947573091E-2</v>
      </c>
      <c r="BE146" s="393">
        <f t="shared" si="64"/>
        <v>0.10035839109869481</v>
      </c>
      <c r="BF146" s="393">
        <f t="shared" si="64"/>
        <v>0.10196588336728002</v>
      </c>
      <c r="BG146" s="393">
        <f t="shared" si="64"/>
        <v>0.10359912367113434</v>
      </c>
      <c r="BH146" s="393">
        <f t="shared" si="64"/>
        <v>0.10534181378916496</v>
      </c>
      <c r="BI146" s="393">
        <f t="shared" si="64"/>
        <v>0.10711381852627599</v>
      </c>
    </row>
    <row r="147" spans="1:61">
      <c r="A147" s="831" t="s">
        <v>783</v>
      </c>
      <c r="B147" s="422" t="s">
        <v>226</v>
      </c>
      <c r="C147" s="428"/>
      <c r="D147" s="428"/>
      <c r="E147" s="428"/>
      <c r="F147" s="428"/>
      <c r="G147" s="428"/>
      <c r="H147" s="428"/>
      <c r="I147" s="428"/>
      <c r="J147" s="428"/>
      <c r="K147" s="428"/>
      <c r="L147" s="428"/>
      <c r="M147" s="428"/>
      <c r="N147" s="428"/>
      <c r="O147" s="428"/>
      <c r="P147" s="429"/>
      <c r="Q147" s="436">
        <f>AVERAGE(V31:V32)*$B$98*$Q$101*$Q$105/100</f>
        <v>2.0722697746964999E-2</v>
      </c>
      <c r="R147" s="433">
        <f>Q147*Indeksacja!R$61</f>
        <v>2.1948805656053703E-2</v>
      </c>
      <c r="S147" s="426">
        <f>R147*Indeksacja!S$61</f>
        <v>2.3263910270651507E-2</v>
      </c>
      <c r="T147" s="426">
        <f>S147*Indeksacja!T$61</f>
        <v>2.4694486304021442E-2</v>
      </c>
      <c r="U147" s="426">
        <f>T147*Indeksacja!U$61</f>
        <v>2.5083317555293028E-2</v>
      </c>
      <c r="V147" s="426">
        <f>U147*Indeksacja!V$61</f>
        <v>2.7612911881147735E-2</v>
      </c>
      <c r="W147" s="426">
        <f>V147*Indeksacja!W$61</f>
        <v>2.8496339961986365E-2</v>
      </c>
      <c r="X147" s="426">
        <f>W147*Indeksacja!X$61</f>
        <v>2.927475819656563E-2</v>
      </c>
      <c r="Y147" s="426">
        <f>X147*Indeksacja!Y$61</f>
        <v>3.0031717092017921E-2</v>
      </c>
      <c r="Z147" s="426">
        <f>Y147*Indeksacja!Z$61</f>
        <v>3.0836784586038803E-2</v>
      </c>
      <c r="AA147" s="426">
        <f>Z147*Indeksacja!AA$61</f>
        <v>3.1643311586228635E-2</v>
      </c>
      <c r="AB147" s="426">
        <f>AA147*Indeksacja!AB$61</f>
        <v>3.2475690821327896E-2</v>
      </c>
      <c r="AC147" s="426">
        <f>AB147*Indeksacja!AC$61</f>
        <v>3.3308758359918561E-2</v>
      </c>
      <c r="AD147" s="426">
        <f>AC147*Indeksacja!AD$61</f>
        <v>3.4141320212050991E-2</v>
      </c>
      <c r="AE147" s="426">
        <f>AD147*Indeksacja!AE$61</f>
        <v>3.4972106775299133E-2</v>
      </c>
      <c r="AF147" s="426">
        <f>AE147*Indeksacja!AF$61</f>
        <v>3.5828649919836524E-2</v>
      </c>
      <c r="AG147" s="426">
        <f>AF147*Indeksacja!AG$61</f>
        <v>3.6682736200812381E-2</v>
      </c>
      <c r="AH147" s="426">
        <f>AG147*Indeksacja!AH$61</f>
        <v>3.7562240919505357E-2</v>
      </c>
      <c r="AI147" s="426">
        <f>AH147*Indeksacja!AI$61</f>
        <v>3.843737316858864E-2</v>
      </c>
      <c r="AJ147" s="426">
        <f>AI147*Indeksacja!AJ$61</f>
        <v>3.9306228852902476E-2</v>
      </c>
      <c r="AK147" s="426">
        <f>AJ147*Indeksacja!AK$61</f>
        <v>4.0167419850112872E-2</v>
      </c>
      <c r="AL147" s="426">
        <f>AK147*Indeksacja!AL$61</f>
        <v>4.1019046631766962E-2</v>
      </c>
      <c r="AM147" s="426">
        <f>AL147*Indeksacja!AM$61</f>
        <v>4.185917963408816E-2</v>
      </c>
      <c r="AN147" s="426">
        <f>AM147*Indeksacja!AN$61</f>
        <v>4.2685809594177955E-2</v>
      </c>
      <c r="AO147" s="426">
        <f>AN147*Indeksacja!AO$61</f>
        <v>4.3531489532182263E-2</v>
      </c>
      <c r="AP147" s="426">
        <f>AO147*Indeksacja!AP$61</f>
        <v>4.4326097886146075E-2</v>
      </c>
      <c r="AQ147" s="426">
        <f>AP147*Indeksacja!AQ$61</f>
        <v>4.5137383115140692E-2</v>
      </c>
      <c r="AR147" s="426">
        <f>AQ147*Indeksacja!AR$61</f>
        <v>4.5965383181122033E-2</v>
      </c>
      <c r="AS147" s="426">
        <f>AR147*Indeksacja!AS$61</f>
        <v>4.6773540545128736E-2</v>
      </c>
      <c r="AT147" s="426">
        <f>AS147*Indeksacja!AT$61</f>
        <v>4.7560090102481814E-2</v>
      </c>
      <c r="AU147" s="426">
        <f>AT147*Indeksacja!AU$61</f>
        <v>4.8323288074212559E-2</v>
      </c>
      <c r="AV147" s="426">
        <f>AU147*Indeksacja!AV$61</f>
        <v>4.9100435691984932E-2</v>
      </c>
      <c r="AW147" s="426">
        <f>AV147*Indeksacja!AW$61</f>
        <v>4.9891403994309823E-2</v>
      </c>
      <c r="AX147" s="426">
        <f>AW147*Indeksacja!AX$61</f>
        <v>5.0696334710494173E-2</v>
      </c>
      <c r="AY147" s="426">
        <f>AX147*Indeksacja!AY$61</f>
        <v>5.1474370871838503E-2</v>
      </c>
      <c r="AZ147" s="426">
        <f>AY147*Indeksacja!AZ$61</f>
        <v>5.2257479259574857E-2</v>
      </c>
      <c r="BA147" s="426">
        <f>AZ147*Indeksacja!BA$61</f>
        <v>5.3052501513115809E-2</v>
      </c>
      <c r="BB147" s="426">
        <f>BA147*Indeksacja!BB$61</f>
        <v>5.3859618884763892E-2</v>
      </c>
      <c r="BC147" s="426">
        <f>BB147*Indeksacja!BC$61</f>
        <v>5.4679015384314265E-2</v>
      </c>
      <c r="BD147" s="426">
        <f>BC147*Indeksacja!BD$61</f>
        <v>5.5510877821006006E-2</v>
      </c>
      <c r="BE147" s="426">
        <f>BD147*Indeksacja!BE$61</f>
        <v>5.6400024268480349E-2</v>
      </c>
      <c r="BF147" s="426">
        <f>BE147*Indeksacja!BF$61</f>
        <v>5.7303412634585583E-2</v>
      </c>
      <c r="BG147" s="426">
        <f>BF147*Indeksacja!BG$61</f>
        <v>5.8221271039500186E-2</v>
      </c>
      <c r="BH147" s="426">
        <f>BG147*Indeksacja!BH$61</f>
        <v>5.920063872239488E-2</v>
      </c>
      <c r="BI147" s="426">
        <f>BH147*Indeksacja!BI$61</f>
        <v>6.0196480814748064E-2</v>
      </c>
    </row>
    <row r="148" spans="1:61">
      <c r="A148" s="831"/>
      <c r="B148" s="423" t="s">
        <v>227</v>
      </c>
      <c r="C148" s="430"/>
      <c r="D148" s="430"/>
      <c r="E148" s="430"/>
      <c r="F148" s="430"/>
      <c r="G148" s="430"/>
      <c r="H148" s="430"/>
      <c r="I148" s="430"/>
      <c r="J148" s="430"/>
      <c r="K148" s="430"/>
      <c r="L148" s="430"/>
      <c r="M148" s="430"/>
      <c r="N148" s="430"/>
      <c r="O148" s="430"/>
      <c r="P148" s="431"/>
      <c r="Q148" s="437">
        <f>AVERAGE(V33:V34)*$B$98*$Q$101*$Q$105/100</f>
        <v>3.7765902922335719E-2</v>
      </c>
      <c r="R148" s="434">
        <f>Q148*Indeksacja!R$61</f>
        <v>4.0000412773917846E-2</v>
      </c>
      <c r="S148" s="427">
        <f>R148*Indeksacja!S$61</f>
        <v>4.2397113908782896E-2</v>
      </c>
      <c r="T148" s="427">
        <f>S148*Indeksacja!T$61</f>
        <v>4.5004254941237602E-2</v>
      </c>
      <c r="U148" s="427">
        <f>T148*Indeksacja!U$61</f>
        <v>4.5712877122963132E-2</v>
      </c>
      <c r="V148" s="427">
        <f>U148*Indeksacja!V$61</f>
        <v>5.0322914624335829E-2</v>
      </c>
      <c r="W148" s="427">
        <f>V148*Indeksacja!W$61</f>
        <v>5.1932910559575649E-2</v>
      </c>
      <c r="X148" s="427">
        <f>W148*Indeksacja!X$61</f>
        <v>5.335153220039951E-2</v>
      </c>
      <c r="Y148" s="427">
        <f>X148*Indeksacja!Y$61</f>
        <v>5.473104545253081E-2</v>
      </c>
      <c r="Z148" s="427">
        <f>Y148*Indeksacja!Z$61</f>
        <v>5.6198233807848774E-2</v>
      </c>
      <c r="AA148" s="427">
        <f>Z148*Indeksacja!AA$61</f>
        <v>5.7668082027676849E-2</v>
      </c>
      <c r="AB148" s="427">
        <f>AA148*Indeksacja!AB$61</f>
        <v>5.9185044431470574E-2</v>
      </c>
      <c r="AC148" s="427">
        <f>AB148*Indeksacja!AC$61</f>
        <v>6.0703261228063674E-2</v>
      </c>
      <c r="AD148" s="427">
        <f>AC148*Indeksacja!AD$61</f>
        <v>6.2220556440704525E-2</v>
      </c>
      <c r="AE148" s="427">
        <f>AD148*Indeksacja!AE$61</f>
        <v>6.3734616293331839E-2</v>
      </c>
      <c r="AF148" s="427">
        <f>AE148*Indeksacja!AF$61</f>
        <v>6.5295616006804419E-2</v>
      </c>
      <c r="AG148" s="427">
        <f>AF148*Indeksacja!AG$61</f>
        <v>6.6852138230333785E-2</v>
      </c>
      <c r="AH148" s="427">
        <f>AG148*Indeksacja!AH$61</f>
        <v>6.8454984067853164E-2</v>
      </c>
      <c r="AI148" s="427">
        <f>AH148*Indeksacja!AI$61</f>
        <v>7.0049861335602967E-2</v>
      </c>
      <c r="AJ148" s="427">
        <f>AI148*Indeksacja!AJ$61</f>
        <v>7.1633299931676761E-2</v>
      </c>
      <c r="AK148" s="427">
        <f>AJ148*Indeksacja!AK$61</f>
        <v>7.3202770084422705E-2</v>
      </c>
      <c r="AL148" s="427">
        <f>AK148*Indeksacja!AL$61</f>
        <v>7.4754810014490206E-2</v>
      </c>
      <c r="AM148" s="427">
        <f>AL148*Indeksacja!AM$61</f>
        <v>7.6285903204910355E-2</v>
      </c>
      <c r="AN148" s="427">
        <f>AM148*Indeksacja!AN$61</f>
        <v>7.7792387891732442E-2</v>
      </c>
      <c r="AO148" s="427">
        <f>AN148*Indeksacja!AO$61</f>
        <v>7.933359004755286E-2</v>
      </c>
      <c r="AP148" s="427">
        <f>AO148*Indeksacja!AP$61</f>
        <v>8.0781717232705164E-2</v>
      </c>
      <c r="AQ148" s="427">
        <f>AP148*Indeksacja!AQ$61</f>
        <v>8.2260237045842094E-2</v>
      </c>
      <c r="AR148" s="427">
        <f>AQ148*Indeksacja!AR$61</f>
        <v>8.3769218670404891E-2</v>
      </c>
      <c r="AS148" s="427">
        <f>AR148*Indeksacja!AS$61</f>
        <v>8.5242038132799347E-2</v>
      </c>
      <c r="AT148" s="427">
        <f>AS148*Indeksacja!AT$61</f>
        <v>8.6675478633129618E-2</v>
      </c>
      <c r="AU148" s="427">
        <f>AT148*Indeksacja!AU$61</f>
        <v>8.806636223635779E-2</v>
      </c>
      <c r="AV148" s="427">
        <f>AU148*Indeksacja!AV$61</f>
        <v>8.9482668252470698E-2</v>
      </c>
      <c r="AW148" s="427">
        <f>AV148*Indeksacja!AW$61</f>
        <v>9.0924161656707678E-2</v>
      </c>
      <c r="AX148" s="427">
        <f>AW148*Indeksacja!AX$61</f>
        <v>9.2391100742429594E-2</v>
      </c>
      <c r="AY148" s="427">
        <f>AX148*Indeksacja!AY$61</f>
        <v>9.3809026077160684E-2</v>
      </c>
      <c r="AZ148" s="427">
        <f>AY148*Indeksacja!AZ$61</f>
        <v>9.5236195247412642E-2</v>
      </c>
      <c r="BA148" s="427">
        <f>AZ148*Indeksacja!BA$61</f>
        <v>9.6685076740302314E-2</v>
      </c>
      <c r="BB148" s="427">
        <f>BA148*Indeksacja!BB$61</f>
        <v>9.8156000877535191E-2</v>
      </c>
      <c r="BC148" s="427">
        <f>BB148*Indeksacja!BC$61</f>
        <v>9.9649303006185561E-2</v>
      </c>
      <c r="BD148" s="427">
        <f>BC148*Indeksacja!BD$61</f>
        <v>0.10116532357515029</v>
      </c>
      <c r="BE148" s="427">
        <f>BD148*Indeksacja!BE$61</f>
        <v>0.10278574089866087</v>
      </c>
      <c r="BF148" s="427">
        <f>BE148*Indeksacja!BF$61</f>
        <v>0.10443211328473181</v>
      </c>
      <c r="BG148" s="427">
        <f>BF148*Indeksacja!BG$61</f>
        <v>0.10610485646902748</v>
      </c>
      <c r="BH148" s="427">
        <f>BG148*Indeksacja!BH$61</f>
        <v>0.10788969670986392</v>
      </c>
      <c r="BI148" s="427">
        <f>BH148*Indeksacja!BI$61</f>
        <v>0.1097045605970378</v>
      </c>
    </row>
    <row r="149" spans="1:61">
      <c r="A149" s="831"/>
      <c r="B149" s="421" t="s">
        <v>245</v>
      </c>
      <c r="C149" s="396"/>
      <c r="D149" s="396"/>
      <c r="E149" s="396"/>
      <c r="F149" s="396"/>
      <c r="G149" s="396"/>
      <c r="H149" s="396"/>
      <c r="I149" s="396"/>
      <c r="J149" s="396"/>
      <c r="K149" s="396"/>
      <c r="L149" s="396"/>
      <c r="M149" s="396"/>
      <c r="N149" s="396"/>
      <c r="O149" s="396"/>
      <c r="P149" s="432"/>
      <c r="Q149" s="393">
        <f>Q147*$B$90+Q148*$B$91</f>
        <v>2.3279178523270605E-2</v>
      </c>
      <c r="R149" s="393">
        <f>R147*$B$90+R148*$B$91</f>
        <v>2.4656546723733325E-2</v>
      </c>
      <c r="S149" s="393">
        <f t="shared" ref="S149:BI149" si="65">S147*$B$90+S148*$B$91</f>
        <v>2.6133890816371217E-2</v>
      </c>
      <c r="T149" s="393">
        <f t="shared" si="65"/>
        <v>2.7740951599603866E-2</v>
      </c>
      <c r="U149" s="393">
        <f t="shared" si="65"/>
        <v>2.8177751490443541E-2</v>
      </c>
      <c r="V149" s="393">
        <f t="shared" si="65"/>
        <v>3.1019412292625951E-2</v>
      </c>
      <c r="W149" s="393">
        <f t="shared" si="65"/>
        <v>3.201182555162476E-2</v>
      </c>
      <c r="X149" s="393">
        <f t="shared" si="65"/>
        <v>3.2886274297140708E-2</v>
      </c>
      <c r="Y149" s="393">
        <f t="shared" si="65"/>
        <v>3.3736616346094851E-2</v>
      </c>
      <c r="Z149" s="393">
        <f t="shared" si="65"/>
        <v>3.4641001969310303E-2</v>
      </c>
      <c r="AA149" s="393">
        <f t="shared" si="65"/>
        <v>3.554702715244587E-2</v>
      </c>
      <c r="AB149" s="393">
        <f t="shared" si="65"/>
        <v>3.6482093862849299E-2</v>
      </c>
      <c r="AC149" s="393">
        <f t="shared" si="65"/>
        <v>3.7417933790140329E-2</v>
      </c>
      <c r="AD149" s="393">
        <f t="shared" si="65"/>
        <v>3.8353205646349017E-2</v>
      </c>
      <c r="AE149" s="393">
        <f t="shared" si="65"/>
        <v>3.9286483203004041E-2</v>
      </c>
      <c r="AF149" s="393">
        <f t="shared" si="65"/>
        <v>4.024869483288171E-2</v>
      </c>
      <c r="AG149" s="393">
        <f t="shared" si="65"/>
        <v>4.1208146505240593E-2</v>
      </c>
      <c r="AH149" s="393">
        <f t="shared" si="65"/>
        <v>4.219615239175753E-2</v>
      </c>
      <c r="AI149" s="393">
        <f t="shared" si="65"/>
        <v>4.3179246393640791E-2</v>
      </c>
      <c r="AJ149" s="393">
        <f t="shared" si="65"/>
        <v>4.4155289514718622E-2</v>
      </c>
      <c r="AK149" s="393">
        <f t="shared" si="65"/>
        <v>4.5122722385259342E-2</v>
      </c>
      <c r="AL149" s="393">
        <f t="shared" si="65"/>
        <v>4.607941113917545E-2</v>
      </c>
      <c r="AM149" s="393">
        <f t="shared" si="65"/>
        <v>4.7023188169711488E-2</v>
      </c>
      <c r="AN149" s="393">
        <f t="shared" si="65"/>
        <v>4.795179633881113E-2</v>
      </c>
      <c r="AO149" s="393">
        <f t="shared" si="65"/>
        <v>4.8901804609487856E-2</v>
      </c>
      <c r="AP149" s="393">
        <f t="shared" si="65"/>
        <v>4.9794440788129939E-2</v>
      </c>
      <c r="AQ149" s="393">
        <f t="shared" si="65"/>
        <v>5.0705811204745904E-2</v>
      </c>
      <c r="AR149" s="393">
        <f t="shared" si="65"/>
        <v>5.1635958504514461E-2</v>
      </c>
      <c r="AS149" s="393">
        <f t="shared" si="65"/>
        <v>5.254381518327933E-2</v>
      </c>
      <c r="AT149" s="393">
        <f t="shared" si="65"/>
        <v>5.3427398382078981E-2</v>
      </c>
      <c r="AU149" s="393">
        <f t="shared" si="65"/>
        <v>5.4284749198534349E-2</v>
      </c>
      <c r="AV149" s="393">
        <f t="shared" si="65"/>
        <v>5.51577705760578E-2</v>
      </c>
      <c r="AW149" s="393">
        <f t="shared" si="65"/>
        <v>5.6046317643669505E-2</v>
      </c>
      <c r="AX149" s="393">
        <f t="shared" si="65"/>
        <v>5.6950549615284493E-2</v>
      </c>
      <c r="AY149" s="393">
        <f t="shared" si="65"/>
        <v>5.7824569152636826E-2</v>
      </c>
      <c r="AZ149" s="393">
        <f t="shared" si="65"/>
        <v>5.8704286657750529E-2</v>
      </c>
      <c r="BA149" s="393">
        <f t="shared" si="65"/>
        <v>5.9597387797193785E-2</v>
      </c>
      <c r="BB149" s="393">
        <f t="shared" si="65"/>
        <v>6.0504076183679589E-2</v>
      </c>
      <c r="BC149" s="393">
        <f t="shared" si="65"/>
        <v>6.1424558527594958E-2</v>
      </c>
      <c r="BD149" s="393">
        <f t="shared" si="65"/>
        <v>6.2359044684127646E-2</v>
      </c>
      <c r="BE149" s="393">
        <f t="shared" si="65"/>
        <v>6.3357881763007426E-2</v>
      </c>
      <c r="BF149" s="393">
        <f t="shared" si="65"/>
        <v>6.4372717732107509E-2</v>
      </c>
      <c r="BG149" s="393">
        <f t="shared" si="65"/>
        <v>6.5403808853929282E-2</v>
      </c>
      <c r="BH149" s="393">
        <f t="shared" si="65"/>
        <v>6.6503997420515243E-2</v>
      </c>
      <c r="BI149" s="393">
        <f t="shared" si="65"/>
        <v>6.7622692782091529E-2</v>
      </c>
    </row>
    <row r="150" spans="1:61">
      <c r="A150" s="831" t="s">
        <v>192</v>
      </c>
      <c r="B150" s="422" t="s">
        <v>226</v>
      </c>
      <c r="C150" s="428"/>
      <c r="D150" s="428"/>
      <c r="E150" s="428"/>
      <c r="F150" s="428"/>
      <c r="G150" s="428"/>
      <c r="H150" s="428"/>
      <c r="I150" s="428"/>
      <c r="J150" s="428"/>
      <c r="K150" s="428"/>
      <c r="L150" s="428"/>
      <c r="M150" s="428"/>
      <c r="N150" s="428"/>
      <c r="O150" s="428"/>
      <c r="P150" s="429"/>
      <c r="Q150" s="436">
        <f>AVERAGE(V35:V36)*$B$98*$Q$101*$Q$105/100</f>
        <v>5.9953424079760686E-3</v>
      </c>
      <c r="R150" s="433">
        <f>Q150*Indeksacja!R$61</f>
        <v>6.3500711616293407E-3</v>
      </c>
      <c r="S150" s="426">
        <f>R150*Indeksacja!S$61</f>
        <v>6.7305478043472502E-3</v>
      </c>
      <c r="T150" s="426">
        <f>S150*Indeksacja!T$61</f>
        <v>7.1444318104464614E-3</v>
      </c>
      <c r="U150" s="426">
        <f>T150*Indeksacja!U$61</f>
        <v>7.2569256815997168E-3</v>
      </c>
      <c r="V150" s="426">
        <f>U150*Indeksacja!V$61</f>
        <v>7.9887697842331937E-3</v>
      </c>
      <c r="W150" s="426">
        <f>V150*Indeksacja!W$61</f>
        <v>8.244356865708841E-3</v>
      </c>
      <c r="X150" s="426">
        <f>W150*Indeksacja!X$61</f>
        <v>8.4695632509922646E-3</v>
      </c>
      <c r="Y150" s="426">
        <f>X150*Indeksacja!Y$61</f>
        <v>8.688561174062609E-3</v>
      </c>
      <c r="Z150" s="426">
        <f>Y150*Indeksacja!Z$61</f>
        <v>8.921477532112242E-3</v>
      </c>
      <c r="AA150" s="426">
        <f>Z150*Indeksacja!AA$61</f>
        <v>9.1548161440274788E-3</v>
      </c>
      <c r="AB150" s="426">
        <f>AA150*Indeksacja!AB$61</f>
        <v>9.3956341392829549E-3</v>
      </c>
      <c r="AC150" s="426">
        <f>AB150*Indeksacja!AC$61</f>
        <v>9.6366512695720049E-3</v>
      </c>
      <c r="AD150" s="426">
        <f>AC150*Indeksacja!AD$61</f>
        <v>9.8775220982788361E-3</v>
      </c>
      <c r="AE150" s="426">
        <f>AD150*Indeksacja!AE$61</f>
        <v>1.0117879313127841E-2</v>
      </c>
      <c r="AF150" s="426">
        <f>AE150*Indeksacja!AF$61</f>
        <v>1.0365688237497173E-2</v>
      </c>
      <c r="AG150" s="426">
        <f>AF150*Indeksacja!AG$61</f>
        <v>1.0612786359707398E-2</v>
      </c>
      <c r="AH150" s="426">
        <f>AG150*Indeksacja!AH$61</f>
        <v>1.0867238362162886E-2</v>
      </c>
      <c r="AI150" s="426">
        <f>AH150*Indeksacja!AI$61</f>
        <v>1.1120425353045138E-2</v>
      </c>
      <c r="AJ150" s="426">
        <f>AI150*Indeksacja!AJ$61</f>
        <v>1.1371796453187769E-2</v>
      </c>
      <c r="AK150" s="426">
        <f>AJ150*Indeksacja!AK$61</f>
        <v>1.1620950060984748E-2</v>
      </c>
      <c r="AL150" s="426">
        <f>AK150*Indeksacja!AL$61</f>
        <v>1.1867336618476604E-2</v>
      </c>
      <c r="AM150" s="426">
        <f>AL150*Indeksacja!AM$61</f>
        <v>1.2110397878099245E-2</v>
      </c>
      <c r="AN150" s="426">
        <f>AM150*Indeksacja!AN$61</f>
        <v>1.2349552534309763E-2</v>
      </c>
      <c r="AO150" s="426">
        <f>AN150*Indeksacja!AO$61</f>
        <v>1.2594218593613472E-2</v>
      </c>
      <c r="AP150" s="426">
        <f>AO150*Indeksacja!AP$61</f>
        <v>1.2824108988214677E-2</v>
      </c>
      <c r="AQ150" s="426">
        <f>AP150*Indeksacja!AQ$61</f>
        <v>1.3058824216789026E-2</v>
      </c>
      <c r="AR150" s="426">
        <f>AQ150*Indeksacja!AR$61</f>
        <v>1.3298375262217558E-2</v>
      </c>
      <c r="AS150" s="426">
        <f>AR150*Indeksacja!AS$61</f>
        <v>1.3532185559308685E-2</v>
      </c>
      <c r="AT150" s="426">
        <f>AS150*Indeksacja!AT$61</f>
        <v>1.375974444062588E-2</v>
      </c>
      <c r="AU150" s="426">
        <f>AT150*Indeksacja!AU$61</f>
        <v>1.3980547408534284E-2</v>
      </c>
      <c r="AV150" s="426">
        <f>AU150*Indeksacja!AV$61</f>
        <v>1.4205386188068703E-2</v>
      </c>
      <c r="AW150" s="426">
        <f>AV150*Indeksacja!AW$61</f>
        <v>1.4434223469015281E-2</v>
      </c>
      <c r="AX150" s="426">
        <f>AW150*Indeksacja!AX$61</f>
        <v>1.4667100255481434E-2</v>
      </c>
      <c r="AY150" s="426">
        <f>AX150*Indeksacja!AY$61</f>
        <v>1.4892196102074561E-2</v>
      </c>
      <c r="AZ150" s="426">
        <f>AY150*Indeksacja!AZ$61</f>
        <v>1.5118759408858552E-2</v>
      </c>
      <c r="BA150" s="426">
        <f>AZ150*Indeksacja!BA$61</f>
        <v>1.5348769549919304E-2</v>
      </c>
      <c r="BB150" s="426">
        <f>BA150*Indeksacja!BB$61</f>
        <v>1.5582278963874088E-2</v>
      </c>
      <c r="BC150" s="426">
        <f>BB150*Indeksacja!BC$61</f>
        <v>1.5819340887118179E-2</v>
      </c>
      <c r="BD150" s="426">
        <f>BC150*Indeksacja!BD$61</f>
        <v>1.60600093659619E-2</v>
      </c>
      <c r="BE150" s="426">
        <f>BD150*Indeksacja!BE$61</f>
        <v>1.6317250844293307E-2</v>
      </c>
      <c r="BF150" s="426">
        <f>BE150*Indeksacja!BF$61</f>
        <v>1.6578612692461758E-2</v>
      </c>
      <c r="BG150" s="426">
        <f>BF150*Indeksacja!BG$61</f>
        <v>1.6844160908562517E-2</v>
      </c>
      <c r="BH150" s="426">
        <f>BG150*Indeksacja!BH$61</f>
        <v>1.7127504548177189E-2</v>
      </c>
      <c r="BI150" s="426">
        <f>BH150*Indeksacja!BI$61</f>
        <v>1.741561444587654E-2</v>
      </c>
    </row>
    <row r="151" spans="1:61">
      <c r="A151" s="831"/>
      <c r="B151" s="423" t="s">
        <v>227</v>
      </c>
      <c r="C151" s="430"/>
      <c r="D151" s="430"/>
      <c r="E151" s="430"/>
      <c r="F151" s="430"/>
      <c r="G151" s="430"/>
      <c r="H151" s="430"/>
      <c r="I151" s="430"/>
      <c r="J151" s="430"/>
      <c r="K151" s="430"/>
      <c r="L151" s="430"/>
      <c r="M151" s="430"/>
      <c r="N151" s="430"/>
      <c r="O151" s="430"/>
      <c r="P151" s="431"/>
      <c r="Q151" s="437">
        <f>AVERAGE(V37:V38)*$B$98*$Q$101*$Q$105/100</f>
        <v>1.0926160393327534E-2</v>
      </c>
      <c r="R151" s="434">
        <f>Q151*Indeksacja!R$61</f>
        <v>1.1572632770515619E-2</v>
      </c>
      <c r="S151" s="427">
        <f>R151*Indeksacja!S$61</f>
        <v>1.2266029167478714E-2</v>
      </c>
      <c r="T151" s="427">
        <f>S151*Indeksacja!T$61</f>
        <v>1.3020308527546079E-2</v>
      </c>
      <c r="U151" s="427">
        <f>T151*Indeksacja!U$61</f>
        <v>1.3225322018994306E-2</v>
      </c>
      <c r="V151" s="427">
        <f>U151*Indeksacja!V$61</f>
        <v>1.4559065032178372E-2</v>
      </c>
      <c r="W151" s="427">
        <f>V151*Indeksacja!W$61</f>
        <v>1.5024857518517468E-2</v>
      </c>
      <c r="X151" s="427">
        <f>W151*Indeksacja!X$61</f>
        <v>1.5435282965433497E-2</v>
      </c>
      <c r="Y151" s="427">
        <f>X151*Indeksacja!Y$61</f>
        <v>1.5834393853593757E-2</v>
      </c>
      <c r="Z151" s="427">
        <f>Y151*Indeksacja!Z$61</f>
        <v>1.6258870274305667E-2</v>
      </c>
      <c r="AA151" s="427">
        <f>Z151*Indeksacja!AA$61</f>
        <v>1.6684116227956371E-2</v>
      </c>
      <c r="AB151" s="427">
        <f>AA151*Indeksacja!AB$61</f>
        <v>1.7122992919679669E-2</v>
      </c>
      <c r="AC151" s="427">
        <f>AB151*Indeksacja!AC$61</f>
        <v>1.7562232523338384E-2</v>
      </c>
      <c r="AD151" s="427">
        <f>AC151*Indeksacja!AD$61</f>
        <v>1.8001205500932337E-2</v>
      </c>
      <c r="AE151" s="427">
        <f>AD151*Indeksacja!AE$61</f>
        <v>1.8439242447352597E-2</v>
      </c>
      <c r="AF151" s="427">
        <f>AE151*Indeksacja!AF$61</f>
        <v>1.8890859697929505E-2</v>
      </c>
      <c r="AG151" s="427">
        <f>AF151*Indeksacja!AG$61</f>
        <v>1.9341181553202889E-2</v>
      </c>
      <c r="AH151" s="427">
        <f>AG151*Indeksacja!AH$61</f>
        <v>1.9804905424508943E-2</v>
      </c>
      <c r="AI151" s="427">
        <f>AH151*Indeksacja!AI$61</f>
        <v>2.026632388631408E-2</v>
      </c>
      <c r="AJ151" s="427">
        <f>AI151*Indeksacja!AJ$61</f>
        <v>2.0724432993602375E-2</v>
      </c>
      <c r="AK151" s="427">
        <f>AJ151*Indeksacja!AK$61</f>
        <v>2.117850085096851E-2</v>
      </c>
      <c r="AL151" s="427">
        <f>AK151*Indeksacja!AL$61</f>
        <v>2.1627525921218773E-2</v>
      </c>
      <c r="AM151" s="427">
        <f>AL151*Indeksacja!AM$61</f>
        <v>2.207049083086398E-2</v>
      </c>
      <c r="AN151" s="427">
        <f>AM151*Indeksacja!AN$61</f>
        <v>2.2506336184599057E-2</v>
      </c>
      <c r="AO151" s="427">
        <f>AN151*Indeksacja!AO$61</f>
        <v>2.2952225747670429E-2</v>
      </c>
      <c r="AP151" s="427">
        <f>AO151*Indeksacja!AP$61</f>
        <v>2.337118752722725E-2</v>
      </c>
      <c r="AQ151" s="427">
        <f>AP151*Indeksacja!AQ$61</f>
        <v>2.3798942284111203E-2</v>
      </c>
      <c r="AR151" s="427">
        <f>AQ151*Indeksacja!AR$61</f>
        <v>2.4235510033979724E-2</v>
      </c>
      <c r="AS151" s="427">
        <f>AR151*Indeksacja!AS$61</f>
        <v>2.4661615606237045E-2</v>
      </c>
      <c r="AT151" s="427">
        <f>AS151*Indeksacja!AT$61</f>
        <v>2.5076328339389716E-2</v>
      </c>
      <c r="AU151" s="427">
        <f>AT151*Indeksacja!AU$61</f>
        <v>2.5478728816046462E-2</v>
      </c>
      <c r="AV151" s="427">
        <f>AU151*Indeksacja!AV$61</f>
        <v>2.5888484323015479E-2</v>
      </c>
      <c r="AW151" s="427">
        <f>AV151*Indeksacja!AW$61</f>
        <v>2.6305526864617259E-2</v>
      </c>
      <c r="AX151" s="427">
        <f>AW151*Indeksacja!AX$61</f>
        <v>2.6729931168435968E-2</v>
      </c>
      <c r="AY151" s="427">
        <f>AX151*Indeksacja!AY$61</f>
        <v>2.7140155165063146E-2</v>
      </c>
      <c r="AZ151" s="427">
        <f>AY151*Indeksacja!AZ$61</f>
        <v>2.755305352193952E-2</v>
      </c>
      <c r="BA151" s="427">
        <f>AZ151*Indeksacja!BA$61</f>
        <v>2.7972233532405359E-2</v>
      </c>
      <c r="BB151" s="427">
        <f>BA151*Indeksacja!BB$61</f>
        <v>2.8397790762769319E-2</v>
      </c>
      <c r="BC151" s="427">
        <f>BB151*Indeksacja!BC$61</f>
        <v>2.8829822233243752E-2</v>
      </c>
      <c r="BD151" s="427">
        <f>BC151*Indeksacja!BD$61</f>
        <v>2.9268426440063753E-2</v>
      </c>
      <c r="BE151" s="427">
        <f>BD151*Indeksacja!BE$61</f>
        <v>2.9737233967774997E-2</v>
      </c>
      <c r="BF151" s="427">
        <f>BE151*Indeksacja!BF$61</f>
        <v>3.0213550628185561E-2</v>
      </c>
      <c r="BG151" s="427">
        <f>BF151*Indeksacja!BG$61</f>
        <v>3.0697496698958587E-2</v>
      </c>
      <c r="BH151" s="427">
        <f>BG151*Indeksacja!BH$61</f>
        <v>3.1213873886813685E-2</v>
      </c>
      <c r="BI151" s="427">
        <f>BH151*Indeksacja!BI$61</f>
        <v>3.1738937300869963E-2</v>
      </c>
    </row>
    <row r="152" spans="1:61">
      <c r="A152" s="831"/>
      <c r="B152" s="421" t="s">
        <v>245</v>
      </c>
      <c r="C152" s="396"/>
      <c r="D152" s="396"/>
      <c r="E152" s="396"/>
      <c r="F152" s="396"/>
      <c r="G152" s="396"/>
      <c r="H152" s="396"/>
      <c r="I152" s="396"/>
      <c r="J152" s="396"/>
      <c r="K152" s="396"/>
      <c r="L152" s="396"/>
      <c r="M152" s="396"/>
      <c r="N152" s="396"/>
      <c r="O152" s="396"/>
      <c r="P152" s="432"/>
      <c r="Q152" s="393">
        <f>Q150*$B$90+Q151*$B$91</f>
        <v>6.7349651057787884E-3</v>
      </c>
      <c r="R152" s="393">
        <f>R150*$B$90+R151*$B$91</f>
        <v>7.1334554029622828E-3</v>
      </c>
      <c r="S152" s="393">
        <f t="shared" ref="S152:BI152" si="66">S150*$B$90+S151*$B$91</f>
        <v>7.5608700088169705E-3</v>
      </c>
      <c r="T152" s="393">
        <f t="shared" si="66"/>
        <v>8.0258133180114051E-3</v>
      </c>
      <c r="U152" s="393">
        <f t="shared" si="66"/>
        <v>8.1521851322089063E-3</v>
      </c>
      <c r="V152" s="393">
        <f t="shared" si="66"/>
        <v>8.9743140714249707E-3</v>
      </c>
      <c r="W152" s="393">
        <f t="shared" si="66"/>
        <v>9.2614319636301345E-3</v>
      </c>
      <c r="X152" s="393">
        <f t="shared" si="66"/>
        <v>9.5144212081584491E-3</v>
      </c>
      <c r="Y152" s="393">
        <f t="shared" si="66"/>
        <v>9.760436075992281E-3</v>
      </c>
      <c r="Z152" s="393">
        <f t="shared" si="66"/>
        <v>1.0022086443441255E-2</v>
      </c>
      <c r="AA152" s="393">
        <f t="shared" si="66"/>
        <v>1.0284211156616813E-2</v>
      </c>
      <c r="AB152" s="393">
        <f t="shared" si="66"/>
        <v>1.0554737956342462E-2</v>
      </c>
      <c r="AC152" s="393">
        <f t="shared" si="66"/>
        <v>1.0825488457636961E-2</v>
      </c>
      <c r="AD152" s="393">
        <f t="shared" si="66"/>
        <v>1.1096074608676862E-2</v>
      </c>
      <c r="AE152" s="393">
        <f t="shared" si="66"/>
        <v>1.1366083783261555E-2</v>
      </c>
      <c r="AF152" s="393">
        <f t="shared" si="66"/>
        <v>1.1644463956562023E-2</v>
      </c>
      <c r="AG152" s="393">
        <f t="shared" si="66"/>
        <v>1.1922045638731721E-2</v>
      </c>
      <c r="AH152" s="393">
        <f t="shared" si="66"/>
        <v>1.2207888421514795E-2</v>
      </c>
      <c r="AI152" s="393">
        <f t="shared" si="66"/>
        <v>1.249231013303548E-2</v>
      </c>
      <c r="AJ152" s="393">
        <f t="shared" si="66"/>
        <v>1.277469193424996E-2</v>
      </c>
      <c r="AK152" s="393">
        <f t="shared" si="66"/>
        <v>1.3054582679482313E-2</v>
      </c>
      <c r="AL152" s="393">
        <f t="shared" si="66"/>
        <v>1.3331365013887929E-2</v>
      </c>
      <c r="AM152" s="393">
        <f t="shared" si="66"/>
        <v>1.3604411821013955E-2</v>
      </c>
      <c r="AN152" s="393">
        <f t="shared" si="66"/>
        <v>1.3873070081853157E-2</v>
      </c>
      <c r="AO152" s="393">
        <f t="shared" si="66"/>
        <v>1.4147919666722016E-2</v>
      </c>
      <c r="AP152" s="393">
        <f t="shared" si="66"/>
        <v>1.4406170769066563E-2</v>
      </c>
      <c r="AQ152" s="393">
        <f t="shared" si="66"/>
        <v>1.4669841926887353E-2</v>
      </c>
      <c r="AR152" s="393">
        <f t="shared" si="66"/>
        <v>1.4938945477981882E-2</v>
      </c>
      <c r="AS152" s="393">
        <f t="shared" si="66"/>
        <v>1.520160006634794E-2</v>
      </c>
      <c r="AT152" s="393">
        <f t="shared" si="66"/>
        <v>1.5457232025440457E-2</v>
      </c>
      <c r="AU152" s="393">
        <f t="shared" si="66"/>
        <v>1.5705274619661112E-2</v>
      </c>
      <c r="AV152" s="393">
        <f t="shared" si="66"/>
        <v>1.5957850908310721E-2</v>
      </c>
      <c r="AW152" s="393">
        <f t="shared" si="66"/>
        <v>1.6214918978355579E-2</v>
      </c>
      <c r="AX152" s="393">
        <f t="shared" si="66"/>
        <v>1.6476524892424613E-2</v>
      </c>
      <c r="AY152" s="393">
        <f t="shared" si="66"/>
        <v>1.6729389961522848E-2</v>
      </c>
      <c r="AZ152" s="393">
        <f t="shared" si="66"/>
        <v>1.6983903525820698E-2</v>
      </c>
      <c r="BA152" s="393">
        <f t="shared" si="66"/>
        <v>1.7242289147292214E-2</v>
      </c>
      <c r="BB152" s="393">
        <f t="shared" si="66"/>
        <v>1.7504605733708371E-2</v>
      </c>
      <c r="BC152" s="393">
        <f t="shared" si="66"/>
        <v>1.7770913089037013E-2</v>
      </c>
      <c r="BD152" s="393">
        <f t="shared" si="66"/>
        <v>1.8041271927077177E-2</v>
      </c>
      <c r="BE152" s="393">
        <f t="shared" si="66"/>
        <v>1.8330248312815562E-2</v>
      </c>
      <c r="BF152" s="393">
        <f t="shared" si="66"/>
        <v>1.8623853382820327E-2</v>
      </c>
      <c r="BG152" s="393">
        <f t="shared" si="66"/>
        <v>1.8922161277121929E-2</v>
      </c>
      <c r="BH152" s="393">
        <f t="shared" si="66"/>
        <v>1.9240459948972662E-2</v>
      </c>
      <c r="BI152" s="393">
        <f t="shared" si="66"/>
        <v>1.9564112874125555E-2</v>
      </c>
    </row>
    <row r="153" spans="1:61">
      <c r="A153" s="831" t="s">
        <v>735</v>
      </c>
      <c r="B153" s="422" t="s">
        <v>226</v>
      </c>
      <c r="C153" s="428"/>
      <c r="D153" s="428"/>
      <c r="E153" s="428"/>
      <c r="F153" s="428"/>
      <c r="G153" s="428"/>
      <c r="H153" s="428"/>
      <c r="I153" s="428"/>
      <c r="J153" s="428"/>
      <c r="K153" s="428"/>
      <c r="L153" s="428"/>
      <c r="M153" s="428"/>
      <c r="N153" s="428"/>
      <c r="O153" s="428"/>
      <c r="P153" s="429"/>
      <c r="Q153" s="436">
        <f>AVERAGE(V39:V40)*$B$98*$Q$101*$Q$105/100</f>
        <v>1.8904724732570367E-2</v>
      </c>
      <c r="R153" s="433">
        <f>Q153*Indeksacja!R$61</f>
        <v>2.002326792597018E-2</v>
      </c>
      <c r="S153" s="426">
        <f>R153*Indeksacja!S$61</f>
        <v>2.1223000269561674E-2</v>
      </c>
      <c r="T153" s="426">
        <f>S153*Indeksacja!T$61</f>
        <v>2.2528073887393692E-2</v>
      </c>
      <c r="U153" s="426">
        <f>T153*Indeksacja!U$61</f>
        <v>2.2882793521992753E-2</v>
      </c>
      <c r="V153" s="426">
        <f>U153*Indeksacja!V$61</f>
        <v>2.5190470109243992E-2</v>
      </c>
      <c r="W153" s="426">
        <f>V153*Indeksacja!W$61</f>
        <v>2.599639629188704E-2</v>
      </c>
      <c r="X153" s="426">
        <f>W153*Indeksacja!X$61</f>
        <v>2.6706524993816771E-2</v>
      </c>
      <c r="Y153" s="426">
        <f>X153*Indeksacja!Y$61</f>
        <v>2.7397076954142105E-2</v>
      </c>
      <c r="Z153" s="426">
        <f>Y153*Indeksacja!Z$61</f>
        <v>2.8131517013609462E-2</v>
      </c>
      <c r="AA153" s="426">
        <f>Z153*Indeksacja!AA$61</f>
        <v>2.8867288538830284E-2</v>
      </c>
      <c r="AB153" s="426">
        <f>AA153*Indeksacja!AB$61</f>
        <v>2.9626644318893412E-2</v>
      </c>
      <c r="AC153" s="426">
        <f>AB153*Indeksacja!AC$61</f>
        <v>3.038662801855448E-2</v>
      </c>
      <c r="AD153" s="426">
        <f>AC153*Indeksacja!AD$61</f>
        <v>3.1146150394916295E-2</v>
      </c>
      <c r="AE153" s="426">
        <f>AD153*Indeksacja!AE$61</f>
        <v>3.1904053225981062E-2</v>
      </c>
      <c r="AF153" s="426">
        <f>AE153*Indeksacja!AF$61</f>
        <v>3.2685453049824995E-2</v>
      </c>
      <c r="AG153" s="426">
        <f>AF153*Indeksacja!AG$61</f>
        <v>3.3464611547278741E-2</v>
      </c>
      <c r="AH153" s="426">
        <f>AG153*Indeksacja!AH$61</f>
        <v>3.4266958558797668E-2</v>
      </c>
      <c r="AI153" s="426">
        <f>AH153*Indeksacja!AI$61</f>
        <v>3.5065316691292155E-2</v>
      </c>
      <c r="AJ153" s="426">
        <f>AI153*Indeksacja!AJ$61</f>
        <v>3.5857948893182362E-2</v>
      </c>
      <c r="AK153" s="426">
        <f>AJ153*Indeksacja!AK$61</f>
        <v>3.6643588820146733E-2</v>
      </c>
      <c r="AL153" s="426">
        <f>AK153*Indeksacja!AL$61</f>
        <v>3.7420503586681572E-2</v>
      </c>
      <c r="AM153" s="426">
        <f>AL153*Indeksacja!AM$61</f>
        <v>3.8186932906916014E-2</v>
      </c>
      <c r="AN153" s="426">
        <f>AM153*Indeksacja!AN$61</f>
        <v>3.8941043787748694E-2</v>
      </c>
      <c r="AO153" s="426">
        <f>AN153*Indeksacja!AO$61</f>
        <v>3.9712533418830631E-2</v>
      </c>
      <c r="AP153" s="426">
        <f>AO153*Indeksacja!AP$61</f>
        <v>4.0437431903830576E-2</v>
      </c>
      <c r="AQ153" s="426">
        <f>AP153*Indeksacja!AQ$61</f>
        <v>4.1177544225161414E-2</v>
      </c>
      <c r="AR153" s="426">
        <f>AQ153*Indeksacja!AR$61</f>
        <v>4.1932905014430269E-2</v>
      </c>
      <c r="AS153" s="426">
        <f>AR153*Indeksacja!AS$61</f>
        <v>4.2670163873952262E-2</v>
      </c>
      <c r="AT153" s="426">
        <f>AS153*Indeksacja!AT$61</f>
        <v>4.3387710549189697E-2</v>
      </c>
      <c r="AU153" s="426">
        <f>AT153*Indeksacja!AU$61</f>
        <v>4.4083954240440704E-2</v>
      </c>
      <c r="AV153" s="426">
        <f>AU153*Indeksacja!AV$61</f>
        <v>4.4792923794981988E-2</v>
      </c>
      <c r="AW153" s="426">
        <f>AV153*Indeksacja!AW$61</f>
        <v>4.5514501564933807E-2</v>
      </c>
      <c r="AX153" s="426">
        <f>AW153*Indeksacja!AX$61</f>
        <v>4.6248816845891112E-2</v>
      </c>
      <c r="AY153" s="426">
        <f>AX153*Indeksacja!AY$61</f>
        <v>4.6958596993331346E-2</v>
      </c>
      <c r="AZ153" s="426">
        <f>AY153*Indeksacja!AZ$61</f>
        <v>4.7673004387903853E-2</v>
      </c>
      <c r="BA153" s="426">
        <f>AZ153*Indeksacja!BA$61</f>
        <v>4.8398280461655431E-2</v>
      </c>
      <c r="BB153" s="426">
        <f>BA153*Indeksacja!BB$61</f>
        <v>4.9134590565880029E-2</v>
      </c>
      <c r="BC153" s="426">
        <f>BB153*Indeksacja!BC$61</f>
        <v>4.988210256745329E-2</v>
      </c>
      <c r="BD153" s="426">
        <f>BC153*Indeksacja!BD$61</f>
        <v>5.0640986887103508E-2</v>
      </c>
      <c r="BE153" s="426">
        <f>BD153*Indeksacja!BE$61</f>
        <v>5.1452129772151238E-2</v>
      </c>
      <c r="BF153" s="426">
        <f>BE153*Indeksacja!BF$61</f>
        <v>5.2276265152416929E-2</v>
      </c>
      <c r="BG153" s="426">
        <f>BF153*Indeksacja!BG$61</f>
        <v>5.3113601135417889E-2</v>
      </c>
      <c r="BH153" s="426">
        <f>BG153*Indeksacja!BH$61</f>
        <v>5.4007050274288385E-2</v>
      </c>
      <c r="BI153" s="426">
        <f>BH153*Indeksacja!BI$61</f>
        <v>5.4915528545936253E-2</v>
      </c>
    </row>
    <row r="154" spans="1:61">
      <c r="A154" s="831"/>
      <c r="B154" s="423" t="s">
        <v>227</v>
      </c>
      <c r="C154" s="430"/>
      <c r="D154" s="430"/>
      <c r="E154" s="430"/>
      <c r="F154" s="430"/>
      <c r="G154" s="430"/>
      <c r="H154" s="430"/>
      <c r="I154" s="430"/>
      <c r="J154" s="430"/>
      <c r="K154" s="430"/>
      <c r="L154" s="430"/>
      <c r="M154" s="430"/>
      <c r="N154" s="430"/>
      <c r="O154" s="430"/>
      <c r="P154" s="431"/>
      <c r="Q154" s="437">
        <f>AVERAGE(V41:V42)*$B$98*$Q$101*$Q$105/100</f>
        <v>3.4377514821381794E-2</v>
      </c>
      <c r="R154" s="434">
        <f>Q154*Indeksacja!R$61</f>
        <v>3.6411542597687301E-2</v>
      </c>
      <c r="S154" s="427">
        <f>R154*Indeksacja!S$61</f>
        <v>3.8593209720956756E-2</v>
      </c>
      <c r="T154" s="427">
        <f>S154*Indeksacja!T$61</f>
        <v>4.0966435899845131E-2</v>
      </c>
      <c r="U154" s="427">
        <f>T154*Indeksacja!U$61</f>
        <v>4.1611479912300652E-2</v>
      </c>
      <c r="V154" s="427">
        <f>U154*Indeksacja!V$61</f>
        <v>4.580790102942521E-2</v>
      </c>
      <c r="W154" s="427">
        <f>V154*Indeksacja!W$61</f>
        <v>4.7273446795400721E-2</v>
      </c>
      <c r="X154" s="427">
        <f>W154*Indeksacja!X$61</f>
        <v>4.8564788527217552E-2</v>
      </c>
      <c r="Y154" s="427">
        <f>X154*Indeksacja!Y$61</f>
        <v>4.9820530707378394E-2</v>
      </c>
      <c r="Z154" s="427">
        <f>Y154*Indeksacja!Z$61</f>
        <v>5.1156081707825186E-2</v>
      </c>
      <c r="AA154" s="427">
        <f>Z154*Indeksacja!AA$61</f>
        <v>5.249405392753443E-2</v>
      </c>
      <c r="AB154" s="427">
        <f>AA154*Indeksacja!AB$61</f>
        <v>5.3874913207587687E-2</v>
      </c>
      <c r="AC154" s="427">
        <f>AB154*Indeksacja!AC$61</f>
        <v>5.5256914335279038E-2</v>
      </c>
      <c r="AD154" s="427">
        <f>AC154*Indeksacja!AD$61</f>
        <v>5.6638076564293906E-2</v>
      </c>
      <c r="AE154" s="427">
        <f>AD154*Indeksacja!AE$61</f>
        <v>5.8016293712476297E-2</v>
      </c>
      <c r="AF154" s="427">
        <f>AE154*Indeksacja!AF$61</f>
        <v>5.9437239238297114E-2</v>
      </c>
      <c r="AG154" s="427">
        <f>AF154*Indeksacja!AG$61</f>
        <v>6.0854108998282232E-2</v>
      </c>
      <c r="AH154" s="427">
        <f>AG154*Indeksacja!AH$61</f>
        <v>6.2313146179228965E-2</v>
      </c>
      <c r="AI154" s="427">
        <f>AH154*Indeksacja!AI$61</f>
        <v>6.3764929737088166E-2</v>
      </c>
      <c r="AJ154" s="427">
        <f>AI154*Indeksacja!AJ$61</f>
        <v>6.5206300910371592E-2</v>
      </c>
      <c r="AK154" s="427">
        <f>AJ154*Indeksacja!AK$61</f>
        <v>6.6634956900636033E-2</v>
      </c>
      <c r="AL154" s="427">
        <f>AK154*Indeksacja!AL$61</f>
        <v>6.8047746522242464E-2</v>
      </c>
      <c r="AM154" s="427">
        <f>AL154*Indeksacja!AM$61</f>
        <v>6.9441468763038014E-2</v>
      </c>
      <c r="AN154" s="427">
        <f>AM154*Indeksacja!AN$61</f>
        <v>7.0812790395567593E-2</v>
      </c>
      <c r="AO154" s="427">
        <f>AN154*Indeksacja!AO$61</f>
        <v>7.2215714617011983E-2</v>
      </c>
      <c r="AP154" s="427">
        <f>AO154*Indeksacja!AP$61</f>
        <v>7.3533914631273428E-2</v>
      </c>
      <c r="AQ154" s="427">
        <f>AP154*Indeksacja!AQ$61</f>
        <v>7.4879780421755041E-2</v>
      </c>
      <c r="AR154" s="427">
        <f>AQ154*Indeksacja!AR$61</f>
        <v>7.62533749647024E-2</v>
      </c>
      <c r="AS154" s="427">
        <f>AR154*Indeksacja!AS$61</f>
        <v>7.7594051844633152E-2</v>
      </c>
      <c r="AT154" s="427">
        <f>AS154*Indeksacja!AT$61</f>
        <v>7.8898882875603385E-2</v>
      </c>
      <c r="AU154" s="427">
        <f>AT154*Indeksacja!AU$61</f>
        <v>8.0164975249539819E-2</v>
      </c>
      <c r="AV154" s="427">
        <f>AU154*Indeksacja!AV$61</f>
        <v>8.1454209116413365E-2</v>
      </c>
      <c r="AW154" s="427">
        <f>AV154*Indeksacja!AW$61</f>
        <v>8.2766370538079587E-2</v>
      </c>
      <c r="AX154" s="427">
        <f>AW154*Indeksacja!AX$61</f>
        <v>8.410169463360502E-2</v>
      </c>
      <c r="AY154" s="427">
        <f>AX154*Indeksacja!AY$61</f>
        <v>8.5392402532488643E-2</v>
      </c>
      <c r="AZ154" s="427">
        <f>AY154*Indeksacja!AZ$61</f>
        <v>8.6691524902311259E-2</v>
      </c>
      <c r="BA154" s="427">
        <f>AZ154*Indeksacja!BA$61</f>
        <v>8.8010411547194897E-2</v>
      </c>
      <c r="BB154" s="427">
        <f>BA154*Indeksacja!BB$61</f>
        <v>8.9349363152107938E-2</v>
      </c>
      <c r="BC154" s="427">
        <f>BB154*Indeksacja!BC$61</f>
        <v>9.0708684976507317E-2</v>
      </c>
      <c r="BD154" s="427">
        <f>BC154*Indeksacja!BD$61</f>
        <v>9.208868692393278E-2</v>
      </c>
      <c r="BE154" s="427">
        <f>BD154*Indeksacja!BE$61</f>
        <v>9.3563719062588799E-2</v>
      </c>
      <c r="BF154" s="427">
        <f>BE154*Indeksacja!BF$61</f>
        <v>9.5062377554087335E-2</v>
      </c>
      <c r="BG154" s="427">
        <f>BF154*Indeksacja!BG$61</f>
        <v>9.6585040833944466E-2</v>
      </c>
      <c r="BH154" s="427">
        <f>BG154*Indeksacja!BH$61</f>
        <v>9.8209743729552046E-2</v>
      </c>
      <c r="BI154" s="427">
        <f>BH154*Indeksacja!BI$61</f>
        <v>9.9861776525071708E-2</v>
      </c>
    </row>
    <row r="155" spans="1:61">
      <c r="A155" s="831"/>
      <c r="B155" s="421" t="s">
        <v>245</v>
      </c>
      <c r="C155" s="396"/>
      <c r="D155" s="396"/>
      <c r="E155" s="396"/>
      <c r="F155" s="396"/>
      <c r="G155" s="396"/>
      <c r="H155" s="396"/>
      <c r="I155" s="396"/>
      <c r="J155" s="396"/>
      <c r="K155" s="396"/>
      <c r="L155" s="396"/>
      <c r="M155" s="396"/>
      <c r="N155" s="396"/>
      <c r="O155" s="396"/>
      <c r="P155" s="432"/>
      <c r="Q155" s="393">
        <f>Q153*$B$90+Q154*$B$91</f>
        <v>2.122564324589208E-2</v>
      </c>
      <c r="R155" s="393">
        <f>R153*$B$90+R154*$B$91</f>
        <v>2.2481509126727747E-2</v>
      </c>
      <c r="S155" s="393">
        <f t="shared" ref="S155:BI155" si="67">S153*$B$90+S154*$B$91</f>
        <v>2.3828531687270938E-2</v>
      </c>
      <c r="T155" s="393">
        <f t="shared" si="67"/>
        <v>2.5293828189261409E-2</v>
      </c>
      <c r="U155" s="393">
        <f t="shared" si="67"/>
        <v>2.5692096480538936E-2</v>
      </c>
      <c r="V155" s="393">
        <f t="shared" si="67"/>
        <v>2.8283084747271175E-2</v>
      </c>
      <c r="W155" s="393">
        <f t="shared" si="67"/>
        <v>2.9187953867414095E-2</v>
      </c>
      <c r="X155" s="393">
        <f t="shared" si="67"/>
        <v>2.9985264523826889E-2</v>
      </c>
      <c r="Y155" s="393">
        <f t="shared" si="67"/>
        <v>3.0760595017127548E-2</v>
      </c>
      <c r="Z155" s="393">
        <f t="shared" si="67"/>
        <v>3.1585201717741825E-2</v>
      </c>
      <c r="AA155" s="393">
        <f t="shared" si="67"/>
        <v>3.2411303347135906E-2</v>
      </c>
      <c r="AB155" s="393">
        <f t="shared" si="67"/>
        <v>3.3263884652197553E-2</v>
      </c>
      <c r="AC155" s="393">
        <f t="shared" si="67"/>
        <v>3.4117170966063162E-2</v>
      </c>
      <c r="AD155" s="393">
        <f t="shared" si="67"/>
        <v>3.4969939320322933E-2</v>
      </c>
      <c r="AE155" s="393">
        <f t="shared" si="67"/>
        <v>3.5820889298955348E-2</v>
      </c>
      <c r="AF155" s="393">
        <f t="shared" si="67"/>
        <v>3.6698220978095816E-2</v>
      </c>
      <c r="AG155" s="393">
        <f t="shared" si="67"/>
        <v>3.7573036164929269E-2</v>
      </c>
      <c r="AH155" s="393">
        <f t="shared" si="67"/>
        <v>3.8473886701862359E-2</v>
      </c>
      <c r="AI155" s="393">
        <f t="shared" si="67"/>
        <v>3.9370258648161557E-2</v>
      </c>
      <c r="AJ155" s="393">
        <f t="shared" si="67"/>
        <v>4.026020169576075E-2</v>
      </c>
      <c r="AK155" s="393">
        <f t="shared" si="67"/>
        <v>4.1142294032220125E-2</v>
      </c>
      <c r="AL155" s="393">
        <f t="shared" si="67"/>
        <v>4.2014590027015707E-2</v>
      </c>
      <c r="AM155" s="393">
        <f t="shared" si="67"/>
        <v>4.2875113285334311E-2</v>
      </c>
      <c r="AN155" s="393">
        <f t="shared" si="67"/>
        <v>4.3721805778921534E-2</v>
      </c>
      <c r="AO155" s="393">
        <f t="shared" si="67"/>
        <v>4.458801059855784E-2</v>
      </c>
      <c r="AP155" s="393">
        <f t="shared" si="67"/>
        <v>4.5401904312947002E-2</v>
      </c>
      <c r="AQ155" s="393">
        <f t="shared" si="67"/>
        <v>4.6232879654650456E-2</v>
      </c>
      <c r="AR155" s="393">
        <f t="shared" si="67"/>
        <v>4.7080975506971087E-2</v>
      </c>
      <c r="AS155" s="393">
        <f t="shared" si="67"/>
        <v>4.7908747069554398E-2</v>
      </c>
      <c r="AT155" s="393">
        <f t="shared" si="67"/>
        <v>4.8714386398151753E-2</v>
      </c>
      <c r="AU155" s="393">
        <f t="shared" si="67"/>
        <v>4.9496107391805572E-2</v>
      </c>
      <c r="AV155" s="393">
        <f t="shared" si="67"/>
        <v>5.0292116593196698E-2</v>
      </c>
      <c r="AW155" s="393">
        <f t="shared" si="67"/>
        <v>5.1102281910905677E-2</v>
      </c>
      <c r="AX155" s="393">
        <f t="shared" si="67"/>
        <v>5.1926748514048202E-2</v>
      </c>
      <c r="AY155" s="393">
        <f t="shared" si="67"/>
        <v>5.2723667824204942E-2</v>
      </c>
      <c r="AZ155" s="393">
        <f t="shared" si="67"/>
        <v>5.3525782465064967E-2</v>
      </c>
      <c r="BA155" s="393">
        <f t="shared" si="67"/>
        <v>5.4340100124486354E-2</v>
      </c>
      <c r="BB155" s="393">
        <f t="shared" si="67"/>
        <v>5.5166806453814221E-2</v>
      </c>
      <c r="BC155" s="393">
        <f t="shared" si="67"/>
        <v>5.6006089928811398E-2</v>
      </c>
      <c r="BD155" s="393">
        <f t="shared" si="67"/>
        <v>5.6858141892627903E-2</v>
      </c>
      <c r="BE155" s="393">
        <f t="shared" si="67"/>
        <v>5.7768868165716872E-2</v>
      </c>
      <c r="BF155" s="393">
        <f t="shared" si="67"/>
        <v>5.869418201266749E-2</v>
      </c>
      <c r="BG155" s="393">
        <f t="shared" si="67"/>
        <v>5.9634317090196877E-2</v>
      </c>
      <c r="BH155" s="393">
        <f t="shared" si="67"/>
        <v>6.0637454292577934E-2</v>
      </c>
      <c r="BI155" s="393">
        <f t="shared" si="67"/>
        <v>6.1657465742806575E-2</v>
      </c>
    </row>
    <row r="156" spans="1:61">
      <c r="A156" s="407" t="s">
        <v>244</v>
      </c>
      <c r="B156" s="407"/>
      <c r="C156" s="407"/>
      <c r="D156" s="407"/>
      <c r="E156" s="407"/>
      <c r="F156" s="407"/>
      <c r="G156" s="407"/>
      <c r="H156" s="407"/>
      <c r="I156" s="407"/>
      <c r="J156" s="407"/>
      <c r="K156" s="407"/>
      <c r="L156" s="407"/>
      <c r="M156" s="407"/>
      <c r="N156" s="407"/>
      <c r="O156" s="407"/>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8"/>
      <c r="AL156" s="418"/>
      <c r="AM156" s="418"/>
      <c r="AN156" s="418"/>
      <c r="AO156" s="418"/>
      <c r="AP156" s="418"/>
      <c r="AQ156" s="418"/>
      <c r="AR156" s="418"/>
      <c r="AS156" s="418"/>
      <c r="AT156" s="418"/>
      <c r="AU156" s="418"/>
      <c r="AV156" s="418"/>
      <c r="AW156" s="418"/>
      <c r="AX156" s="418"/>
      <c r="AY156" s="418"/>
      <c r="AZ156" s="418"/>
      <c r="BA156" s="418"/>
      <c r="BB156" s="418"/>
      <c r="BC156" s="418"/>
      <c r="BD156" s="418"/>
      <c r="BE156" s="418"/>
      <c r="BF156" s="418"/>
      <c r="BG156" s="418"/>
      <c r="BH156" s="418"/>
      <c r="BI156" s="418"/>
    </row>
    <row r="157" spans="1:61">
      <c r="A157" s="831" t="s">
        <v>229</v>
      </c>
      <c r="B157" s="422" t="s">
        <v>226</v>
      </c>
      <c r="C157" s="428"/>
      <c r="D157" s="428"/>
      <c r="E157" s="428"/>
      <c r="F157" s="428"/>
      <c r="G157" s="428"/>
      <c r="H157" s="428"/>
      <c r="I157" s="428"/>
      <c r="J157" s="428"/>
      <c r="K157" s="428"/>
      <c r="L157" s="428"/>
      <c r="M157" s="428"/>
      <c r="N157" s="428"/>
      <c r="O157" s="428"/>
      <c r="P157" s="429"/>
      <c r="Q157" s="436">
        <f>AVERAGE(V49:V50)*$B$98*$Q$101*$Q$105/100</f>
        <v>0.42056556024736685</v>
      </c>
      <c r="R157" s="433">
        <f>Q157*Indeksacja!R$61</f>
        <v>0.44544932615497607</v>
      </c>
      <c r="S157" s="426">
        <f>R157*Indeksacja!S$61</f>
        <v>0.47213927337013661</v>
      </c>
      <c r="T157" s="426">
        <f>S157*Indeksacja!T$61</f>
        <v>0.50117270416651061</v>
      </c>
      <c r="U157" s="426">
        <f>T157*Indeksacja!U$61</f>
        <v>0.50906400456713863</v>
      </c>
      <c r="V157" s="426">
        <f>U157*Indeksacja!V$61</f>
        <v>0.56040192725664251</v>
      </c>
      <c r="W157" s="426">
        <f>V157*Indeksacja!W$61</f>
        <v>0.57833103235158934</v>
      </c>
      <c r="X157" s="426">
        <f>W157*Indeksacja!X$61</f>
        <v>0.59412897067651327</v>
      </c>
      <c r="Y157" s="426">
        <f>X157*Indeksacja!Y$61</f>
        <v>0.60949139336092206</v>
      </c>
      <c r="Z157" s="426">
        <f>Y157*Indeksacja!Z$61</f>
        <v>0.62583017636080562</v>
      </c>
      <c r="AA157" s="426">
        <f>Z157*Indeksacja!AA$61</f>
        <v>0.64219857992636664</v>
      </c>
      <c r="AB157" s="426">
        <f>AA157*Indeksacja!AB$61</f>
        <v>0.65909165261518043</v>
      </c>
      <c r="AC157" s="426">
        <f>AB157*Indeksacja!AC$61</f>
        <v>0.67599869437052296</v>
      </c>
      <c r="AD157" s="426">
        <f>AC157*Indeksacja!AD$61</f>
        <v>0.69289547325800838</v>
      </c>
      <c r="AE157" s="426">
        <f>AD157*Indeksacja!AE$61</f>
        <v>0.70975622279384576</v>
      </c>
      <c r="AF157" s="426">
        <f>AE157*Indeksacja!AF$61</f>
        <v>0.72713970017005591</v>
      </c>
      <c r="AG157" s="426">
        <f>AF157*Indeksacja!AG$61</f>
        <v>0.74447331568885633</v>
      </c>
      <c r="AH157" s="426">
        <f>AG157*Indeksacja!AH$61</f>
        <v>0.76232279645018663</v>
      </c>
      <c r="AI157" s="426">
        <f>AH157*Indeksacja!AI$61</f>
        <v>0.78008353827638799</v>
      </c>
      <c r="AJ157" s="426">
        <f>AI157*Indeksacja!AJ$61</f>
        <v>0.797716897702338</v>
      </c>
      <c r="AK157" s="426">
        <f>AJ157*Indeksacja!AK$61</f>
        <v>0.81519470289181073</v>
      </c>
      <c r="AL157" s="426">
        <f>AK157*Indeksacja!AL$61</f>
        <v>0.83247840306064957</v>
      </c>
      <c r="AM157" s="426">
        <f>AL157*Indeksacja!AM$61</f>
        <v>0.84952883786010835</v>
      </c>
      <c r="AN157" s="426">
        <f>AM157*Indeksacja!AN$61</f>
        <v>0.86630522945387844</v>
      </c>
      <c r="AO157" s="426">
        <f>AN157*Indeksacja!AO$61</f>
        <v>0.88346823888728243</v>
      </c>
      <c r="AP157" s="426">
        <f>AO157*Indeksacja!AP$61</f>
        <v>0.89959475444247716</v>
      </c>
      <c r="AQ157" s="426">
        <f>AP157*Indeksacja!AQ$61</f>
        <v>0.91605972589642348</v>
      </c>
      <c r="AR157" s="426">
        <f>AQ157*Indeksacja!AR$61</f>
        <v>0.93286392368410298</v>
      </c>
      <c r="AS157" s="426">
        <f>AR157*Indeksacja!AS$61</f>
        <v>0.9492654153581922</v>
      </c>
      <c r="AT157" s="426">
        <f>AS157*Indeksacja!AT$61</f>
        <v>0.96522837825470809</v>
      </c>
      <c r="AU157" s="426">
        <f>AT157*Indeksacja!AU$61</f>
        <v>0.98071742251332084</v>
      </c>
      <c r="AV157" s="426">
        <f>AU157*Indeksacja!AV$61</f>
        <v>0.99648957376767244</v>
      </c>
      <c r="AW157" s="426">
        <f>AV157*Indeksacja!AW$61</f>
        <v>1.0125422147542398</v>
      </c>
      <c r="AX157" s="426">
        <f>AW157*Indeksacja!AX$61</f>
        <v>1.0288782218584291</v>
      </c>
      <c r="AY157" s="426">
        <f>AX157*Indeksacja!AY$61</f>
        <v>1.0446684060363753</v>
      </c>
      <c r="AZ157" s="426">
        <f>AY157*Indeksacja!AZ$61</f>
        <v>1.0605615306596397</v>
      </c>
      <c r="BA157" s="426">
        <f>AZ157*Indeksacja!BA$61</f>
        <v>1.0766964462749844</v>
      </c>
      <c r="BB157" s="426">
        <f>BA157*Indeksacja!BB$61</f>
        <v>1.0930768313839778</v>
      </c>
      <c r="BC157" s="426">
        <f>BB157*Indeksacja!BC$61</f>
        <v>1.1097064204512894</v>
      </c>
      <c r="BD157" s="426">
        <f>BC157*Indeksacja!BD$61</f>
        <v>1.1265890047560883</v>
      </c>
      <c r="BE157" s="426">
        <f>BD157*Indeksacja!BE$61</f>
        <v>1.1446341636630057</v>
      </c>
      <c r="BF157" s="426">
        <f>BE157*Indeksacja!BF$61</f>
        <v>1.1629683612154285</v>
      </c>
      <c r="BG157" s="426">
        <f>BF157*Indeksacja!BG$61</f>
        <v>1.1815962270948699</v>
      </c>
      <c r="BH157" s="426">
        <f>BG157*Indeksacja!BH$61</f>
        <v>1.2014724190499013</v>
      </c>
      <c r="BI157" s="426">
        <f>BH157*Indeksacja!BI$61</f>
        <v>1.221682957880434</v>
      </c>
    </row>
    <row r="158" spans="1:61">
      <c r="A158" s="831"/>
      <c r="B158" s="423" t="s">
        <v>227</v>
      </c>
      <c r="C158" s="430"/>
      <c r="D158" s="430"/>
      <c r="E158" s="430"/>
      <c r="F158" s="430"/>
      <c r="G158" s="430"/>
      <c r="H158" s="430"/>
      <c r="I158" s="430"/>
      <c r="J158" s="430"/>
      <c r="K158" s="430"/>
      <c r="L158" s="430"/>
      <c r="M158" s="430"/>
      <c r="N158" s="430"/>
      <c r="O158" s="430"/>
      <c r="P158" s="431"/>
      <c r="Q158" s="437">
        <f>AVERAGE(V51:V52)*$B$98*$Q$101</f>
        <v>1.1229430001630269</v>
      </c>
      <c r="R158" s="434">
        <f>Q158*Indeksacja!R$61</f>
        <v>1.189384604956367</v>
      </c>
      <c r="S158" s="427">
        <f>R158*Indeksacja!S$61</f>
        <v>1.2606488553680193</v>
      </c>
      <c r="T158" s="427">
        <f>S158*Indeksacja!T$61</f>
        <v>1.3381703905701161</v>
      </c>
      <c r="U158" s="427">
        <f>T158*Indeksacja!U$61</f>
        <v>1.3592407809792995</v>
      </c>
      <c r="V158" s="427">
        <f>U158*Indeksacja!V$61</f>
        <v>1.4963170572516145</v>
      </c>
      <c r="W158" s="427">
        <f>V158*Indeksacja!W$61</f>
        <v>1.5441891727280121</v>
      </c>
      <c r="X158" s="427">
        <f>W158*Indeksacja!X$61</f>
        <v>1.5863709059363762</v>
      </c>
      <c r="Y158" s="427">
        <f>X158*Indeksacja!Y$61</f>
        <v>1.6273897782588169</v>
      </c>
      <c r="Z158" s="427">
        <f>Y158*Indeksacja!Z$61</f>
        <v>1.6710156091283497</v>
      </c>
      <c r="AA158" s="427">
        <f>Z158*Indeksacja!AA$61</f>
        <v>1.7147205292292231</v>
      </c>
      <c r="AB158" s="427">
        <f>AA158*Indeksacja!AB$61</f>
        <v>1.7598263570007384</v>
      </c>
      <c r="AC158" s="427">
        <f>AB158*Indeksacja!AC$61</f>
        <v>1.8049694832744612</v>
      </c>
      <c r="AD158" s="427">
        <f>AC158*Indeksacja!AD$61</f>
        <v>1.850085206886837</v>
      </c>
      <c r="AE158" s="427">
        <f>AD158*Indeksacja!AE$61</f>
        <v>1.8951047293071566</v>
      </c>
      <c r="AF158" s="427">
        <f>AE158*Indeksacja!AF$61</f>
        <v>1.9415199760207154</v>
      </c>
      <c r="AG158" s="427">
        <f>AF158*Indeksacja!AG$61</f>
        <v>1.9878020876679587</v>
      </c>
      <c r="AH158" s="427">
        <f>AG158*Indeksacja!AH$61</f>
        <v>2.0354615999344672</v>
      </c>
      <c r="AI158" s="427">
        <f>AH158*Indeksacja!AI$61</f>
        <v>2.0828841722908549</v>
      </c>
      <c r="AJ158" s="427">
        <f>AI158*Indeksacja!AJ$61</f>
        <v>2.1299666236572543</v>
      </c>
      <c r="AK158" s="427">
        <f>AJ158*Indeksacja!AK$61</f>
        <v>2.1766337330234791</v>
      </c>
      <c r="AL158" s="427">
        <f>AK158*Indeksacja!AL$61</f>
        <v>2.2227825667751024</v>
      </c>
      <c r="AM158" s="427">
        <f>AL158*Indeksacja!AM$61</f>
        <v>2.2683085637124805</v>
      </c>
      <c r="AN158" s="427">
        <f>AM158*Indeksacja!AN$61</f>
        <v>2.3131028438174357</v>
      </c>
      <c r="AO158" s="427">
        <f>AN158*Indeksacja!AO$61</f>
        <v>2.3589294238484704</v>
      </c>
      <c r="AP158" s="427">
        <f>AO158*Indeksacja!AP$61</f>
        <v>2.4019884840080201</v>
      </c>
      <c r="AQ158" s="427">
        <f>AP158*Indeksacja!AQ$61</f>
        <v>2.4459512479376633</v>
      </c>
      <c r="AR158" s="427">
        <f>AQ158*Indeksacja!AR$61</f>
        <v>2.4908197727591697</v>
      </c>
      <c r="AS158" s="427">
        <f>AR158*Indeksacja!AS$61</f>
        <v>2.534613040702502</v>
      </c>
      <c r="AT158" s="427">
        <f>AS158*Indeksacja!AT$61</f>
        <v>2.5772354024478652</v>
      </c>
      <c r="AU158" s="427">
        <f>AT158*Indeksacja!AU$61</f>
        <v>2.6185923642951314</v>
      </c>
      <c r="AV158" s="427">
        <f>AU158*Indeksacja!AV$61</f>
        <v>2.660705244004467</v>
      </c>
      <c r="AW158" s="427">
        <f>AV158*Indeksacja!AW$61</f>
        <v>2.7035670532771836</v>
      </c>
      <c r="AX158" s="427">
        <f>AW158*Indeksacja!AX$61</f>
        <v>2.7471854722877014</v>
      </c>
      <c r="AY158" s="427">
        <f>AX158*Indeksacja!AY$61</f>
        <v>2.7893465013160421</v>
      </c>
      <c r="AZ158" s="427">
        <f>AY158*Indeksacja!AZ$61</f>
        <v>2.8317823893994984</v>
      </c>
      <c r="BA158" s="427">
        <f>AZ158*Indeksacja!BA$61</f>
        <v>2.8748638783778531</v>
      </c>
      <c r="BB158" s="427">
        <f>BA158*Indeksacja!BB$61</f>
        <v>2.9186007901385302</v>
      </c>
      <c r="BC158" s="427">
        <f>BB158*Indeksacja!BC$61</f>
        <v>2.9630030959948197</v>
      </c>
      <c r="BD158" s="427">
        <f>BC158*Indeksacja!BD$61</f>
        <v>3.0080809189591755</v>
      </c>
      <c r="BE158" s="427">
        <f>BD158*Indeksacja!BE$61</f>
        <v>3.0562629072071759</v>
      </c>
      <c r="BF158" s="427">
        <f>BE158*Indeksacja!BF$61</f>
        <v>3.1052166512869088</v>
      </c>
      <c r="BG158" s="427">
        <f>BF158*Indeksacja!BG$61</f>
        <v>3.1549545128107837</v>
      </c>
      <c r="BH158" s="427">
        <f>BG158*Indeksacja!BH$61</f>
        <v>3.2080255027717097</v>
      </c>
      <c r="BI158" s="427">
        <f>BH158*Indeksacja!BI$61</f>
        <v>3.2619892250886795</v>
      </c>
    </row>
    <row r="159" spans="1:61">
      <c r="A159" s="831"/>
      <c r="B159" s="421" t="s">
        <v>245</v>
      </c>
      <c r="C159" s="396"/>
      <c r="D159" s="396"/>
      <c r="E159" s="396"/>
      <c r="F159" s="396"/>
      <c r="G159" s="396"/>
      <c r="H159" s="396"/>
      <c r="I159" s="396"/>
      <c r="J159" s="396"/>
      <c r="K159" s="396"/>
      <c r="L159" s="396"/>
      <c r="M159" s="396"/>
      <c r="N159" s="396"/>
      <c r="O159" s="396"/>
      <c r="P159" s="432"/>
      <c r="Q159" s="393">
        <f>Q157*$B$90+Q158*$B$91</f>
        <v>0.52592217623471593</v>
      </c>
      <c r="R159" s="393">
        <f>R157*$B$90+R158*$B$91</f>
        <v>0.55703961797518475</v>
      </c>
      <c r="S159" s="393">
        <f t="shared" ref="S159:BI159" si="68">S157*$B$90+S158*$B$91</f>
        <v>0.59041571066981902</v>
      </c>
      <c r="T159" s="393">
        <f t="shared" si="68"/>
        <v>0.62672235712705149</v>
      </c>
      <c r="U159" s="393">
        <f t="shared" si="68"/>
        <v>0.63659052102896274</v>
      </c>
      <c r="V159" s="393">
        <f t="shared" si="68"/>
        <v>0.70078919675588836</v>
      </c>
      <c r="W159" s="393">
        <f t="shared" si="68"/>
        <v>0.72320975340805282</v>
      </c>
      <c r="X159" s="393">
        <f t="shared" si="68"/>
        <v>0.74296526096549265</v>
      </c>
      <c r="Y159" s="393">
        <f t="shared" si="68"/>
        <v>0.76217615109560632</v>
      </c>
      <c r="Z159" s="393">
        <f t="shared" si="68"/>
        <v>0.78260799127593716</v>
      </c>
      <c r="AA159" s="393">
        <f t="shared" si="68"/>
        <v>0.80307687232179514</v>
      </c>
      <c r="AB159" s="393">
        <f t="shared" si="68"/>
        <v>0.82420185827301418</v>
      </c>
      <c r="AC159" s="393">
        <f t="shared" si="68"/>
        <v>0.84534431270611377</v>
      </c>
      <c r="AD159" s="393">
        <f t="shared" si="68"/>
        <v>0.86647393330233269</v>
      </c>
      <c r="AE159" s="393">
        <f t="shared" si="68"/>
        <v>0.88755849877084247</v>
      </c>
      <c r="AF159" s="393">
        <f t="shared" si="68"/>
        <v>0.90929674154765483</v>
      </c>
      <c r="AG159" s="393">
        <f t="shared" si="68"/>
        <v>0.93097263148572185</v>
      </c>
      <c r="AH159" s="393">
        <f t="shared" si="68"/>
        <v>0.95329361697282877</v>
      </c>
      <c r="AI159" s="393">
        <f t="shared" si="68"/>
        <v>0.97550363337855805</v>
      </c>
      <c r="AJ159" s="393">
        <f t="shared" si="68"/>
        <v>0.99755435659557556</v>
      </c>
      <c r="AK159" s="393">
        <f t="shared" si="68"/>
        <v>1.0194105574115611</v>
      </c>
      <c r="AL159" s="393">
        <f t="shared" si="68"/>
        <v>1.0410240276178175</v>
      </c>
      <c r="AM159" s="393">
        <f t="shared" si="68"/>
        <v>1.0623457967379641</v>
      </c>
      <c r="AN159" s="393">
        <f t="shared" si="68"/>
        <v>1.0833248716084121</v>
      </c>
      <c r="AO159" s="393">
        <f t="shared" si="68"/>
        <v>1.1047874166314606</v>
      </c>
      <c r="AP159" s="393">
        <f t="shared" si="68"/>
        <v>1.1249538138773088</v>
      </c>
      <c r="AQ159" s="393">
        <f t="shared" si="68"/>
        <v>1.1455434542026095</v>
      </c>
      <c r="AR159" s="393">
        <f t="shared" si="68"/>
        <v>1.1665573010453629</v>
      </c>
      <c r="AS159" s="393">
        <f t="shared" si="68"/>
        <v>1.1870675591598387</v>
      </c>
      <c r="AT159" s="393">
        <f t="shared" si="68"/>
        <v>1.2070294318836816</v>
      </c>
      <c r="AU159" s="393">
        <f t="shared" si="68"/>
        <v>1.2263986637805924</v>
      </c>
      <c r="AV159" s="393">
        <f t="shared" si="68"/>
        <v>1.2461219243031918</v>
      </c>
      <c r="AW159" s="393">
        <f t="shared" si="68"/>
        <v>1.2661959405326813</v>
      </c>
      <c r="AX159" s="393">
        <f t="shared" si="68"/>
        <v>1.28662430942282</v>
      </c>
      <c r="AY159" s="393">
        <f t="shared" si="68"/>
        <v>1.3063701203283253</v>
      </c>
      <c r="AZ159" s="393">
        <f t="shared" si="68"/>
        <v>1.3262446594706185</v>
      </c>
      <c r="BA159" s="393">
        <f t="shared" si="68"/>
        <v>1.3464215610904149</v>
      </c>
      <c r="BB159" s="393">
        <f t="shared" si="68"/>
        <v>1.3669054251971606</v>
      </c>
      <c r="BC159" s="393">
        <f t="shared" si="68"/>
        <v>1.3877009217828191</v>
      </c>
      <c r="BD159" s="393">
        <f t="shared" si="68"/>
        <v>1.4088127918865514</v>
      </c>
      <c r="BE159" s="393">
        <f t="shared" si="68"/>
        <v>1.4313784751946312</v>
      </c>
      <c r="BF159" s="393">
        <f t="shared" si="68"/>
        <v>1.4543056047261507</v>
      </c>
      <c r="BG159" s="393">
        <f t="shared" si="68"/>
        <v>1.4775999699522571</v>
      </c>
      <c r="BH159" s="393">
        <f t="shared" si="68"/>
        <v>1.5024553816081725</v>
      </c>
      <c r="BI159" s="393">
        <f t="shared" si="68"/>
        <v>1.527728897961671</v>
      </c>
    </row>
    <row r="160" spans="1:61">
      <c r="A160" s="831" t="s">
        <v>230</v>
      </c>
      <c r="B160" s="422" t="s">
        <v>226</v>
      </c>
      <c r="C160" s="428"/>
      <c r="D160" s="428"/>
      <c r="E160" s="428"/>
      <c r="F160" s="428"/>
      <c r="G160" s="428"/>
      <c r="H160" s="428"/>
      <c r="I160" s="428"/>
      <c r="J160" s="428"/>
      <c r="K160" s="428"/>
      <c r="L160" s="428"/>
      <c r="M160" s="428"/>
      <c r="N160" s="428"/>
      <c r="O160" s="428"/>
      <c r="P160" s="429"/>
      <c r="Q160" s="436">
        <f>AVERAGE(V53:V54)*$B$98*$Q$101*$Q$105/100</f>
        <v>0.60753546212785114</v>
      </c>
      <c r="R160" s="433">
        <f>Q160*Indeksacja!R$61</f>
        <v>0.6434817488643797</v>
      </c>
      <c r="S160" s="426">
        <f>R160*Indeksacja!S$61</f>
        <v>0.68203718694160409</v>
      </c>
      <c r="T160" s="426">
        <f>S160*Indeksacja!T$61</f>
        <v>0.72397794591782005</v>
      </c>
      <c r="U160" s="426">
        <f>T160*Indeksacja!U$61</f>
        <v>0.73537746430174433</v>
      </c>
      <c r="V160" s="426">
        <f>U160*Indeksacja!V$61</f>
        <v>0.80953857385029282</v>
      </c>
      <c r="W160" s="426">
        <f>V160*Indeksacja!W$61</f>
        <v>0.83543838158298167</v>
      </c>
      <c r="X160" s="426">
        <f>W160*Indeksacja!X$61</f>
        <v>0.85825957444350687</v>
      </c>
      <c r="Y160" s="426">
        <f>X160*Indeksacja!Y$61</f>
        <v>0.88045163543748384</v>
      </c>
      <c r="Z160" s="426">
        <f>Y160*Indeksacja!Z$61</f>
        <v>0.90405411509512024</v>
      </c>
      <c r="AA160" s="426">
        <f>Z160*Indeksacja!AA$61</f>
        <v>0.92769938366787075</v>
      </c>
      <c r="AB160" s="426">
        <f>AA160*Indeksacja!AB$61</f>
        <v>0.95210257235674323</v>
      </c>
      <c r="AC160" s="426">
        <f>AB160*Indeksacja!AC$61</f>
        <v>0.97652594030918649</v>
      </c>
      <c r="AD160" s="426">
        <f>AC160*Indeksacja!AD$61</f>
        <v>1.0009344828532853</v>
      </c>
      <c r="AE160" s="426">
        <f>AD160*Indeksacja!AE$61</f>
        <v>1.0252909785564808</v>
      </c>
      <c r="AF160" s="426">
        <f>AE160*Indeksacja!AF$61</f>
        <v>1.0504025900610774</v>
      </c>
      <c r="AG160" s="426">
        <f>AF160*Indeksacja!AG$61</f>
        <v>1.0754421727324852</v>
      </c>
      <c r="AH160" s="426">
        <f>AG160*Indeksacja!AH$61</f>
        <v>1.1012269577174914</v>
      </c>
      <c r="AI160" s="426">
        <f>AH160*Indeksacja!AI$61</f>
        <v>1.1268835532950467</v>
      </c>
      <c r="AJ160" s="426">
        <f>AI160*Indeksacja!AJ$61</f>
        <v>1.1523561363601222</v>
      </c>
      <c r="AK160" s="426">
        <f>AJ160*Indeksacja!AK$61</f>
        <v>1.1776040107855064</v>
      </c>
      <c r="AL160" s="426">
        <f>AK160*Indeksacja!AL$61</f>
        <v>1.2025714873501081</v>
      </c>
      <c r="AM160" s="426">
        <f>AL160*Indeksacja!AM$61</f>
        <v>1.2272019962754639</v>
      </c>
      <c r="AN160" s="426">
        <f>AM160*Indeksacja!AN$61</f>
        <v>1.2514366312126757</v>
      </c>
      <c r="AO160" s="426">
        <f>AN160*Indeksacja!AO$61</f>
        <v>1.2762297618282561</v>
      </c>
      <c r="AP160" s="426">
        <f>AO160*Indeksacja!AP$61</f>
        <v>1.2995256067723229</v>
      </c>
      <c r="AQ160" s="426">
        <f>AP160*Indeksacja!AQ$61</f>
        <v>1.3233103742062315</v>
      </c>
      <c r="AR160" s="426">
        <f>AQ160*Indeksacja!AR$61</f>
        <v>1.3475851770755414</v>
      </c>
      <c r="AS160" s="426">
        <f>AR160*Indeksacja!AS$61</f>
        <v>1.3712782436641204</v>
      </c>
      <c r="AT160" s="426">
        <f>AS160*Indeksacja!AT$61</f>
        <v>1.3943378257054089</v>
      </c>
      <c r="AU160" s="426">
        <f>AT160*Indeksacja!AU$61</f>
        <v>1.4167128001470637</v>
      </c>
      <c r="AV160" s="426">
        <f>AU160*Indeksacja!AV$61</f>
        <v>1.4394967418360287</v>
      </c>
      <c r="AW160" s="426">
        <f>AV160*Indeksacja!AW$61</f>
        <v>1.462685869957719</v>
      </c>
      <c r="AX160" s="426">
        <f>AW160*Indeksacja!AX$61</f>
        <v>1.4862843396458456</v>
      </c>
      <c r="AY160" s="426">
        <f>AX160*Indeksacja!AY$61</f>
        <v>1.5090943311154039</v>
      </c>
      <c r="AZ160" s="426">
        <f>AY160*Indeksacja!AZ$61</f>
        <v>1.5320530270366086</v>
      </c>
      <c r="BA160" s="426">
        <f>AZ160*Indeksacja!BA$61</f>
        <v>1.5553610064370063</v>
      </c>
      <c r="BB160" s="426">
        <f>BA160*Indeksacja!BB$61</f>
        <v>1.5790235831614798</v>
      </c>
      <c r="BC160" s="426">
        <f>BB160*Indeksacja!BC$61</f>
        <v>1.6030461518974055</v>
      </c>
      <c r="BD160" s="426">
        <f>BC160*Indeksacja!BD$61</f>
        <v>1.6274341894045556</v>
      </c>
      <c r="BE160" s="426">
        <f>BD160*Indeksacja!BE$61</f>
        <v>1.653501644735982</v>
      </c>
      <c r="BF160" s="426">
        <f>BE160*Indeksacja!BF$61</f>
        <v>1.6799866359849158</v>
      </c>
      <c r="BG160" s="426">
        <f>BF160*Indeksacja!BG$61</f>
        <v>1.7068958510401513</v>
      </c>
      <c r="BH160" s="426">
        <f>BG160*Indeksacja!BH$61</f>
        <v>1.7356083577362282</v>
      </c>
      <c r="BI160" s="426">
        <f>BH160*Indeksacja!BI$61</f>
        <v>1.7648038511595094</v>
      </c>
    </row>
    <row r="161" spans="1:61">
      <c r="A161" s="831"/>
      <c r="B161" s="423" t="s">
        <v>227</v>
      </c>
      <c r="C161" s="430"/>
      <c r="D161" s="430"/>
      <c r="E161" s="430"/>
      <c r="F161" s="430"/>
      <c r="G161" s="430"/>
      <c r="H161" s="430"/>
      <c r="I161" s="430"/>
      <c r="J161" s="430"/>
      <c r="K161" s="430"/>
      <c r="L161" s="430"/>
      <c r="M161" s="430"/>
      <c r="N161" s="430"/>
      <c r="O161" s="430"/>
      <c r="P161" s="431"/>
      <c r="Q161" s="437">
        <f>AVERAGE(V55:V56)*$B$98*$Q$101*$Q$105/100</f>
        <v>1.1062478462233114</v>
      </c>
      <c r="R161" s="434">
        <f>Q161*Indeksacja!R$61</f>
        <v>1.171701642356848</v>
      </c>
      <c r="S161" s="427">
        <f>R161*Indeksacja!S$61</f>
        <v>1.2419063842886859</v>
      </c>
      <c r="T161" s="427">
        <f>S161*Indeksacja!T$61</f>
        <v>1.3182753819500044</v>
      </c>
      <c r="U161" s="427">
        <f>T161*Indeksacja!U$61</f>
        <v>1.3390325121034132</v>
      </c>
      <c r="V161" s="427">
        <f>U161*Indeksacja!V$61</f>
        <v>1.4740708313881368</v>
      </c>
      <c r="W161" s="427">
        <f>V161*Indeksacja!W$61</f>
        <v>1.5212312167614195</v>
      </c>
      <c r="X161" s="427">
        <f>W161*Indeksacja!X$61</f>
        <v>1.5627858206059109</v>
      </c>
      <c r="Y161" s="427">
        <f>X161*Indeksacja!Y$61</f>
        <v>1.603194852190436</v>
      </c>
      <c r="Z161" s="427">
        <f>Y161*Indeksacja!Z$61</f>
        <v>1.6461720838327514</v>
      </c>
      <c r="AA161" s="427">
        <f>Z161*Indeksacja!AA$61</f>
        <v>1.6892272288614252</v>
      </c>
      <c r="AB161" s="427">
        <f>AA161*Indeksacja!AB$61</f>
        <v>1.7336624538168453</v>
      </c>
      <c r="AC161" s="427">
        <f>AB161*Indeksacja!AC$61</f>
        <v>1.7781344227456712</v>
      </c>
      <c r="AD161" s="427">
        <f>AC161*Indeksacja!AD$61</f>
        <v>1.82257939641731</v>
      </c>
      <c r="AE161" s="427">
        <f>AD161*Indeksacja!AE$61</f>
        <v>1.8669295991508863</v>
      </c>
      <c r="AF161" s="427">
        <f>AE161*Indeksacja!AF$61</f>
        <v>1.9126547754967413</v>
      </c>
      <c r="AG161" s="427">
        <f>AF161*Indeksacja!AG$61</f>
        <v>1.9582487961380355</v>
      </c>
      <c r="AH161" s="427">
        <f>AG161*Indeksacja!AH$61</f>
        <v>2.0051997391415757</v>
      </c>
      <c r="AI161" s="427">
        <f>AH161*Indeksacja!AI$61</f>
        <v>2.0519172648966735</v>
      </c>
      <c r="AJ161" s="427">
        <f>AI161*Indeksacja!AJ$61</f>
        <v>2.0982997263496874</v>
      </c>
      <c r="AK161" s="427">
        <f>AJ161*Indeksacja!AK$61</f>
        <v>2.1442730208253273</v>
      </c>
      <c r="AL161" s="427">
        <f>AK161*Indeksacja!AL$61</f>
        <v>2.1897357450562449</v>
      </c>
      <c r="AM161" s="427">
        <f>AL161*Indeksacja!AM$61</f>
        <v>2.2345848923877054</v>
      </c>
      <c r="AN161" s="427">
        <f>AM161*Indeksacja!AN$61</f>
        <v>2.2787132015557008</v>
      </c>
      <c r="AO161" s="427">
        <f>AN161*Indeksacja!AO$61</f>
        <v>2.3238584631155064</v>
      </c>
      <c r="AP161" s="427">
        <f>AO161*Indeksacja!AP$61</f>
        <v>2.3662773504098626</v>
      </c>
      <c r="AQ161" s="427">
        <f>AP161*Indeksacja!AQ$61</f>
        <v>2.4095865058203607</v>
      </c>
      <c r="AR161" s="427">
        <f>AQ161*Indeksacja!AR$61</f>
        <v>2.4537879558848812</v>
      </c>
      <c r="AS161" s="427">
        <f>AR161*Indeksacja!AS$61</f>
        <v>2.4969301352602891</v>
      </c>
      <c r="AT161" s="427">
        <f>AS161*Indeksacja!AT$61</f>
        <v>2.5389188166759209</v>
      </c>
      <c r="AU161" s="427">
        <f>AT161*Indeksacja!AU$61</f>
        <v>2.5796609112998117</v>
      </c>
      <c r="AV161" s="427">
        <f>AU161*Indeksacja!AV$61</f>
        <v>2.6211476853123399</v>
      </c>
      <c r="AW161" s="427">
        <f>AV161*Indeksacja!AW$61</f>
        <v>2.6633722543120961</v>
      </c>
      <c r="AX161" s="427">
        <f>AW161*Indeksacja!AX$61</f>
        <v>2.7063421842898832</v>
      </c>
      <c r="AY161" s="427">
        <f>AX161*Indeksacja!AY$61</f>
        <v>2.7478763917700397</v>
      </c>
      <c r="AZ161" s="427">
        <f>AY161*Indeksacja!AZ$61</f>
        <v>2.7896813718875362</v>
      </c>
      <c r="BA161" s="427">
        <f>AZ161*Indeksacja!BA$61</f>
        <v>2.8321223545442509</v>
      </c>
      <c r="BB161" s="427">
        <f>BA161*Indeksacja!BB$61</f>
        <v>2.8752090156024557</v>
      </c>
      <c r="BC161" s="427">
        <f>BB161*Indeksacja!BC$61</f>
        <v>2.9189511781287263</v>
      </c>
      <c r="BD161" s="427">
        <f>BC161*Indeksacja!BD$61</f>
        <v>2.963358814633442</v>
      </c>
      <c r="BE161" s="427">
        <f>BD161*Indeksacja!BE$61</f>
        <v>3.0108244658003929</v>
      </c>
      <c r="BF161" s="427">
        <f>BE161*Indeksacja!BF$61</f>
        <v>3.0590503988574671</v>
      </c>
      <c r="BG161" s="427">
        <f>BF161*Indeksacja!BG$61</f>
        <v>3.1080487916330148</v>
      </c>
      <c r="BH161" s="427">
        <f>BG161*Indeksacja!BH$61</f>
        <v>3.1603307581555273</v>
      </c>
      <c r="BI161" s="427">
        <f>BH161*Indeksacja!BI$61</f>
        <v>3.2134921844956654</v>
      </c>
    </row>
    <row r="162" spans="1:61">
      <c r="A162" s="831"/>
      <c r="B162" s="421" t="s">
        <v>245</v>
      </c>
      <c r="C162" s="396"/>
      <c r="D162" s="396"/>
      <c r="E162" s="396"/>
      <c r="F162" s="396"/>
      <c r="G162" s="396"/>
      <c r="H162" s="396"/>
      <c r="I162" s="396"/>
      <c r="J162" s="396"/>
      <c r="K162" s="396"/>
      <c r="L162" s="396"/>
      <c r="M162" s="396"/>
      <c r="N162" s="396"/>
      <c r="O162" s="396"/>
      <c r="P162" s="432"/>
      <c r="Q162" s="393">
        <f>Q160*$B$90+Q161*$B$91</f>
        <v>0.68234231974217019</v>
      </c>
      <c r="R162" s="393">
        <f>R160*$B$90+R161*$B$91</f>
        <v>0.72271473288824994</v>
      </c>
      <c r="S162" s="393">
        <f t="shared" ref="S162:BI162" si="69">S160*$B$90+S161*$B$91</f>
        <v>0.76601756654366637</v>
      </c>
      <c r="T162" s="393">
        <f t="shared" si="69"/>
        <v>0.81312256132264771</v>
      </c>
      <c r="U162" s="393">
        <f t="shared" si="69"/>
        <v>0.82592572147199461</v>
      </c>
      <c r="V162" s="393">
        <f t="shared" si="69"/>
        <v>0.90921841248096935</v>
      </c>
      <c r="W162" s="393">
        <f t="shared" si="69"/>
        <v>0.93830730685974739</v>
      </c>
      <c r="X162" s="393">
        <f t="shared" si="69"/>
        <v>0.96393851136786746</v>
      </c>
      <c r="Y162" s="393">
        <f t="shared" si="69"/>
        <v>0.9888631179504267</v>
      </c>
      <c r="Z162" s="393">
        <f t="shared" si="69"/>
        <v>1.015371810405765</v>
      </c>
      <c r="AA162" s="393">
        <f t="shared" si="69"/>
        <v>1.041928560446904</v>
      </c>
      <c r="AB162" s="393">
        <f t="shared" si="69"/>
        <v>1.0693365545757585</v>
      </c>
      <c r="AC162" s="393">
        <f t="shared" si="69"/>
        <v>1.0967672126746593</v>
      </c>
      <c r="AD162" s="393">
        <f t="shared" si="69"/>
        <v>1.1241812198878891</v>
      </c>
      <c r="AE162" s="393">
        <f t="shared" si="69"/>
        <v>1.1515367716456415</v>
      </c>
      <c r="AF162" s="393">
        <f t="shared" si="69"/>
        <v>1.179740417876427</v>
      </c>
      <c r="AG162" s="393">
        <f t="shared" si="69"/>
        <v>1.2078631662433179</v>
      </c>
      <c r="AH162" s="393">
        <f t="shared" si="69"/>
        <v>1.2368228749311041</v>
      </c>
      <c r="AI162" s="393">
        <f t="shared" si="69"/>
        <v>1.2656386100352908</v>
      </c>
      <c r="AJ162" s="393">
        <f t="shared" si="69"/>
        <v>1.294247674858557</v>
      </c>
      <c r="AK162" s="393">
        <f t="shared" si="69"/>
        <v>1.3226043622914796</v>
      </c>
      <c r="AL162" s="393">
        <f t="shared" si="69"/>
        <v>1.3506461260060285</v>
      </c>
      <c r="AM162" s="393">
        <f t="shared" si="69"/>
        <v>1.3783094306923003</v>
      </c>
      <c r="AN162" s="393">
        <f t="shared" si="69"/>
        <v>1.4055281167641296</v>
      </c>
      <c r="AO162" s="393">
        <f t="shared" si="69"/>
        <v>1.4333740670213437</v>
      </c>
      <c r="AP162" s="393">
        <f t="shared" si="69"/>
        <v>1.4595383683179537</v>
      </c>
      <c r="AQ162" s="393">
        <f t="shared" si="69"/>
        <v>1.4862517939483508</v>
      </c>
      <c r="AR162" s="393">
        <f t="shared" si="69"/>
        <v>1.5135155938969422</v>
      </c>
      <c r="AS162" s="393">
        <f t="shared" si="69"/>
        <v>1.5401260274035458</v>
      </c>
      <c r="AT162" s="393">
        <f t="shared" si="69"/>
        <v>1.5660249743509858</v>
      </c>
      <c r="AU162" s="393">
        <f t="shared" si="69"/>
        <v>1.591155016819976</v>
      </c>
      <c r="AV162" s="393">
        <f t="shared" si="69"/>
        <v>1.6167443833574755</v>
      </c>
      <c r="AW162" s="393">
        <f t="shared" si="69"/>
        <v>1.6427888276108755</v>
      </c>
      <c r="AX162" s="393">
        <f t="shared" si="69"/>
        <v>1.6692930163424513</v>
      </c>
      <c r="AY162" s="393">
        <f t="shared" si="69"/>
        <v>1.6949116402135993</v>
      </c>
      <c r="AZ162" s="393">
        <f t="shared" si="69"/>
        <v>1.7206972787642476</v>
      </c>
      <c r="BA162" s="393">
        <f t="shared" si="69"/>
        <v>1.746875208653093</v>
      </c>
      <c r="BB162" s="393">
        <f t="shared" si="69"/>
        <v>1.7734513980276263</v>
      </c>
      <c r="BC162" s="393">
        <f t="shared" si="69"/>
        <v>1.8004319058321037</v>
      </c>
      <c r="BD162" s="393">
        <f t="shared" si="69"/>
        <v>1.8278228831888887</v>
      </c>
      <c r="BE162" s="393">
        <f t="shared" si="69"/>
        <v>1.8571000678956437</v>
      </c>
      <c r="BF162" s="393">
        <f t="shared" si="69"/>
        <v>1.8868462004157986</v>
      </c>
      <c r="BG162" s="393">
        <f t="shared" si="69"/>
        <v>1.9170687921290808</v>
      </c>
      <c r="BH162" s="393">
        <f t="shared" si="69"/>
        <v>1.9493167177991231</v>
      </c>
      <c r="BI162" s="393">
        <f t="shared" si="69"/>
        <v>1.9821071011599327</v>
      </c>
    </row>
    <row r="163" spans="1:61"/>
    <row r="164" spans="1:61">
      <c r="A164" s="435" t="s">
        <v>234</v>
      </c>
      <c r="B164" s="685" t="s">
        <v>328</v>
      </c>
      <c r="C164" s="671"/>
      <c r="D164" s="671"/>
      <c r="E164" s="671"/>
      <c r="F164" s="671"/>
      <c r="G164" s="671"/>
      <c r="H164" s="671"/>
      <c r="I164" s="671"/>
      <c r="J164" s="671"/>
      <c r="K164" s="671"/>
      <c r="L164" s="671"/>
      <c r="M164" s="671"/>
      <c r="N164" s="671"/>
      <c r="O164" s="671"/>
      <c r="P164" s="674"/>
      <c r="Q164" s="6"/>
      <c r="R164" s="6"/>
      <c r="S164" s="6"/>
      <c r="T164" s="6">
        <v>2020</v>
      </c>
      <c r="U164" s="6">
        <f>T164+1</f>
        <v>2021</v>
      </c>
      <c r="V164" s="6">
        <f t="shared" ref="V164:BI164" si="70">U164+1</f>
        <v>2022</v>
      </c>
      <c r="W164" s="6">
        <f t="shared" si="70"/>
        <v>2023</v>
      </c>
      <c r="X164" s="6">
        <f t="shared" si="70"/>
        <v>2024</v>
      </c>
      <c r="Y164" s="6">
        <f t="shared" si="70"/>
        <v>2025</v>
      </c>
      <c r="Z164" s="6">
        <f t="shared" si="70"/>
        <v>2026</v>
      </c>
      <c r="AA164" s="6">
        <f t="shared" si="70"/>
        <v>2027</v>
      </c>
      <c r="AB164" s="6">
        <f t="shared" si="70"/>
        <v>2028</v>
      </c>
      <c r="AC164" s="6">
        <f t="shared" si="70"/>
        <v>2029</v>
      </c>
      <c r="AD164" s="6">
        <f t="shared" si="70"/>
        <v>2030</v>
      </c>
      <c r="AE164" s="6">
        <f t="shared" si="70"/>
        <v>2031</v>
      </c>
      <c r="AF164" s="6">
        <f t="shared" si="70"/>
        <v>2032</v>
      </c>
      <c r="AG164" s="6">
        <f t="shared" si="70"/>
        <v>2033</v>
      </c>
      <c r="AH164" s="6">
        <f t="shared" si="70"/>
        <v>2034</v>
      </c>
      <c r="AI164" s="6">
        <f t="shared" si="70"/>
        <v>2035</v>
      </c>
      <c r="AJ164" s="6">
        <f t="shared" si="70"/>
        <v>2036</v>
      </c>
      <c r="AK164" s="6">
        <f t="shared" si="70"/>
        <v>2037</v>
      </c>
      <c r="AL164" s="6">
        <f t="shared" si="70"/>
        <v>2038</v>
      </c>
      <c r="AM164" s="6">
        <f t="shared" si="70"/>
        <v>2039</v>
      </c>
      <c r="AN164" s="6">
        <f t="shared" si="70"/>
        <v>2040</v>
      </c>
      <c r="AO164" s="6">
        <f t="shared" si="70"/>
        <v>2041</v>
      </c>
      <c r="AP164" s="6">
        <f t="shared" si="70"/>
        <v>2042</v>
      </c>
      <c r="AQ164" s="6">
        <f t="shared" si="70"/>
        <v>2043</v>
      </c>
      <c r="AR164" s="6">
        <f t="shared" si="70"/>
        <v>2044</v>
      </c>
      <c r="AS164" s="6">
        <f t="shared" si="70"/>
        <v>2045</v>
      </c>
      <c r="AT164" s="6">
        <f t="shared" si="70"/>
        <v>2046</v>
      </c>
      <c r="AU164" s="6">
        <f t="shared" si="70"/>
        <v>2047</v>
      </c>
      <c r="AV164" s="6">
        <f t="shared" si="70"/>
        <v>2048</v>
      </c>
      <c r="AW164" s="6">
        <f t="shared" si="70"/>
        <v>2049</v>
      </c>
      <c r="AX164" s="6">
        <f t="shared" si="70"/>
        <v>2050</v>
      </c>
      <c r="AY164" s="6">
        <f t="shared" si="70"/>
        <v>2051</v>
      </c>
      <c r="AZ164" s="6">
        <f t="shared" si="70"/>
        <v>2052</v>
      </c>
      <c r="BA164" s="6">
        <f t="shared" si="70"/>
        <v>2053</v>
      </c>
      <c r="BB164" s="6">
        <f t="shared" si="70"/>
        <v>2054</v>
      </c>
      <c r="BC164" s="6">
        <f t="shared" si="70"/>
        <v>2055</v>
      </c>
      <c r="BD164" s="6">
        <f t="shared" si="70"/>
        <v>2056</v>
      </c>
      <c r="BE164" s="6">
        <f t="shared" si="70"/>
        <v>2057</v>
      </c>
      <c r="BF164" s="6">
        <f t="shared" si="70"/>
        <v>2058</v>
      </c>
      <c r="BG164" s="6">
        <f t="shared" si="70"/>
        <v>2059</v>
      </c>
      <c r="BH164" s="6">
        <f t="shared" si="70"/>
        <v>2060</v>
      </c>
      <c r="BI164" s="6">
        <f t="shared" si="70"/>
        <v>2061</v>
      </c>
    </row>
    <row r="165" spans="1:61">
      <c r="A165" s="407" t="s">
        <v>242</v>
      </c>
      <c r="B165" s="686" t="s">
        <v>530</v>
      </c>
      <c r="C165" s="681"/>
      <c r="D165" s="681"/>
      <c r="E165" s="681"/>
      <c r="F165" s="681"/>
      <c r="G165" s="681"/>
      <c r="H165" s="681"/>
      <c r="I165" s="681"/>
      <c r="J165" s="681"/>
      <c r="K165" s="681"/>
      <c r="L165" s="681"/>
      <c r="M165" s="681"/>
      <c r="N165" s="681"/>
      <c r="O165" s="681"/>
      <c r="P165" s="687"/>
      <c r="Q165" s="683">
        <f>DATE(2016,12,31)</f>
        <v>42735</v>
      </c>
      <c r="R165" s="683">
        <f>DATE(YEAR(Q165+1),12,31)</f>
        <v>43100</v>
      </c>
      <c r="S165" s="683">
        <f t="shared" ref="S165" si="71">DATE(YEAR(R165+1),12,31)</f>
        <v>43465</v>
      </c>
      <c r="T165" s="683">
        <f>DATE(YEAR(S165+1),12,31)</f>
        <v>43830</v>
      </c>
      <c r="U165" s="683">
        <f t="shared" ref="U165:BI165" si="72">DATE(YEAR(T165+1),12,31)</f>
        <v>44196</v>
      </c>
      <c r="V165" s="683">
        <f t="shared" si="72"/>
        <v>44561</v>
      </c>
      <c r="W165" s="683">
        <f t="shared" si="72"/>
        <v>44926</v>
      </c>
      <c r="X165" s="683">
        <f t="shared" si="72"/>
        <v>45291</v>
      </c>
      <c r="Y165" s="683">
        <f t="shared" si="72"/>
        <v>45657</v>
      </c>
      <c r="Z165" s="683">
        <f t="shared" si="72"/>
        <v>46022</v>
      </c>
      <c r="AA165" s="683">
        <f t="shared" si="72"/>
        <v>46387</v>
      </c>
      <c r="AB165" s="683">
        <f t="shared" si="72"/>
        <v>46752</v>
      </c>
      <c r="AC165" s="683">
        <f t="shared" si="72"/>
        <v>47118</v>
      </c>
      <c r="AD165" s="683">
        <f t="shared" si="72"/>
        <v>47483</v>
      </c>
      <c r="AE165" s="683">
        <f t="shared" si="72"/>
        <v>47848</v>
      </c>
      <c r="AF165" s="683">
        <f t="shared" si="72"/>
        <v>48213</v>
      </c>
      <c r="AG165" s="683">
        <f t="shared" si="72"/>
        <v>48579</v>
      </c>
      <c r="AH165" s="683">
        <f t="shared" si="72"/>
        <v>48944</v>
      </c>
      <c r="AI165" s="683">
        <f t="shared" si="72"/>
        <v>49309</v>
      </c>
      <c r="AJ165" s="683">
        <f t="shared" si="72"/>
        <v>49674</v>
      </c>
      <c r="AK165" s="683">
        <f t="shared" si="72"/>
        <v>50040</v>
      </c>
      <c r="AL165" s="683">
        <f t="shared" si="72"/>
        <v>50405</v>
      </c>
      <c r="AM165" s="683">
        <f t="shared" si="72"/>
        <v>50770</v>
      </c>
      <c r="AN165" s="683">
        <f t="shared" si="72"/>
        <v>51135</v>
      </c>
      <c r="AO165" s="683">
        <f t="shared" si="72"/>
        <v>51501</v>
      </c>
      <c r="AP165" s="683">
        <f t="shared" si="72"/>
        <v>51866</v>
      </c>
      <c r="AQ165" s="683">
        <f t="shared" si="72"/>
        <v>52231</v>
      </c>
      <c r="AR165" s="683">
        <f t="shared" si="72"/>
        <v>52596</v>
      </c>
      <c r="AS165" s="683">
        <f t="shared" si="72"/>
        <v>52962</v>
      </c>
      <c r="AT165" s="683">
        <f t="shared" si="72"/>
        <v>53327</v>
      </c>
      <c r="AU165" s="683">
        <f t="shared" si="72"/>
        <v>53692</v>
      </c>
      <c r="AV165" s="683">
        <f t="shared" si="72"/>
        <v>54057</v>
      </c>
      <c r="AW165" s="683">
        <f t="shared" si="72"/>
        <v>54423</v>
      </c>
      <c r="AX165" s="683">
        <f t="shared" si="72"/>
        <v>54788</v>
      </c>
      <c r="AY165" s="683">
        <f t="shared" si="72"/>
        <v>55153</v>
      </c>
      <c r="AZ165" s="683">
        <f t="shared" si="72"/>
        <v>55518</v>
      </c>
      <c r="BA165" s="683">
        <f t="shared" si="72"/>
        <v>55884</v>
      </c>
      <c r="BB165" s="683">
        <f t="shared" si="72"/>
        <v>56249</v>
      </c>
      <c r="BC165" s="683">
        <f t="shared" si="72"/>
        <v>56614</v>
      </c>
      <c r="BD165" s="683">
        <f t="shared" si="72"/>
        <v>56979</v>
      </c>
      <c r="BE165" s="683">
        <f t="shared" si="72"/>
        <v>57345</v>
      </c>
      <c r="BF165" s="683">
        <f t="shared" si="72"/>
        <v>57710</v>
      </c>
      <c r="BG165" s="683">
        <f t="shared" si="72"/>
        <v>58075</v>
      </c>
      <c r="BH165" s="683">
        <f t="shared" si="72"/>
        <v>58440</v>
      </c>
      <c r="BI165" s="683">
        <f t="shared" si="72"/>
        <v>58806</v>
      </c>
    </row>
    <row r="166" spans="1:61">
      <c r="A166" s="831" t="s">
        <v>89</v>
      </c>
      <c r="B166" s="422" t="s">
        <v>226</v>
      </c>
      <c r="C166" s="428"/>
      <c r="D166" s="428"/>
      <c r="E166" s="428"/>
      <c r="F166" s="428"/>
      <c r="G166" s="428"/>
      <c r="H166" s="428"/>
      <c r="I166" s="428"/>
      <c r="J166" s="428"/>
      <c r="K166" s="428"/>
      <c r="L166" s="428"/>
      <c r="M166" s="428"/>
      <c r="N166" s="428"/>
      <c r="O166" s="428"/>
      <c r="P166" s="429"/>
      <c r="Q166" s="436">
        <f>AVERAGE(W23:W24)*$B$98*$Q$101*$Q$105/100</f>
        <v>3.2607328254935237E-4</v>
      </c>
      <c r="R166" s="433">
        <f>Q166*Indeksacja!R$61</f>
        <v>3.4536618714884308E-4</v>
      </c>
      <c r="S166" s="426">
        <f>R166*Indeksacja!S$61</f>
        <v>3.6605946192483168E-4</v>
      </c>
      <c r="T166" s="426">
        <f>S166*Indeksacja!T$61</f>
        <v>3.8856968857742496E-4</v>
      </c>
      <c r="U166" s="426">
        <f>T166*Indeksacja!U$61</f>
        <v>3.9468797896644861E-4</v>
      </c>
      <c r="V166" s="426">
        <f>U166*Indeksacja!V$61</f>
        <v>4.3449134508322091E-4</v>
      </c>
      <c r="W166" s="426">
        <f>V166*Indeksacja!W$61</f>
        <v>4.4839215557289353E-4</v>
      </c>
      <c r="X166" s="426">
        <f>W166*Indeksacja!X$61</f>
        <v>4.6064062785410059E-4</v>
      </c>
      <c r="Y166" s="426">
        <f>X166*Indeksacja!Y$61</f>
        <v>4.7255143574257688E-4</v>
      </c>
      <c r="Z166" s="426">
        <f>Y166*Indeksacja!Z$61</f>
        <v>4.8521923622176969E-4</v>
      </c>
      <c r="AA166" s="426">
        <f>Z166*Indeksacja!AA$61</f>
        <v>4.9791000214557881E-4</v>
      </c>
      <c r="AB166" s="426">
        <f>AA166*Indeksacja!AB$61</f>
        <v>5.1100755502353295E-4</v>
      </c>
      <c r="AC166" s="426">
        <f>AB166*Indeksacja!AC$61</f>
        <v>5.2411593841118103E-4</v>
      </c>
      <c r="AD166" s="426">
        <f>AC166*Indeksacja!AD$61</f>
        <v>5.3721636478254713E-4</v>
      </c>
      <c r="AE166" s="426">
        <f>AD166*Indeksacja!AE$61</f>
        <v>5.5028885684337892E-4</v>
      </c>
      <c r="AF166" s="426">
        <f>AE166*Indeksacja!AF$61</f>
        <v>5.6376663074110208E-4</v>
      </c>
      <c r="AG166" s="426">
        <f>AF166*Indeksacja!AG$61</f>
        <v>5.7720574569701825E-4</v>
      </c>
      <c r="AH166" s="426">
        <f>AG166*Indeksacja!AH$61</f>
        <v>5.910448217740635E-4</v>
      </c>
      <c r="AI166" s="426">
        <f>AH166*Indeksacja!AI$61</f>
        <v>6.0481509669713313E-4</v>
      </c>
      <c r="AJ166" s="426">
        <f>AI166*Indeksacja!AJ$61</f>
        <v>6.1848660937879494E-4</v>
      </c>
      <c r="AK166" s="426">
        <f>AJ166*Indeksacja!AK$61</f>
        <v>6.3203751760470249E-4</v>
      </c>
      <c r="AL166" s="426">
        <f>AK166*Indeksacja!AL$61</f>
        <v>6.4543793214491649E-4</v>
      </c>
      <c r="AM166" s="426">
        <f>AL166*Indeksacja!AM$61</f>
        <v>6.5865749116131138E-4</v>
      </c>
      <c r="AN166" s="426">
        <f>AM166*Indeksacja!AN$61</f>
        <v>6.7166457874379549E-4</v>
      </c>
      <c r="AO166" s="426">
        <f>AN166*Indeksacja!AO$61</f>
        <v>6.8497141923041041E-4</v>
      </c>
      <c r="AP166" s="426">
        <f>AO166*Indeksacja!AP$61</f>
        <v>6.9747464431634627E-4</v>
      </c>
      <c r="AQ166" s="426">
        <f>AP166*Indeksacja!AQ$61</f>
        <v>7.1024028134547405E-4</v>
      </c>
      <c r="AR166" s="426">
        <f>AQ166*Indeksacja!AR$61</f>
        <v>7.2326892765216255E-4</v>
      </c>
      <c r="AS166" s="426">
        <f>AR166*Indeksacja!AS$61</f>
        <v>7.3598534747914624E-4</v>
      </c>
      <c r="AT166" s="426">
        <f>AS166*Indeksacja!AT$61</f>
        <v>7.4836176676516418E-4</v>
      </c>
      <c r="AU166" s="426">
        <f>AT166*Indeksacja!AU$61</f>
        <v>7.6037074701068748E-4</v>
      </c>
      <c r="AV166" s="426">
        <f>AU166*Indeksacja!AV$61</f>
        <v>7.7259922603627965E-4</v>
      </c>
      <c r="AW166" s="426">
        <f>AV166*Indeksacja!AW$61</f>
        <v>7.8504517462274395E-4</v>
      </c>
      <c r="AX166" s="426">
        <f>AW166*Indeksacja!AX$61</f>
        <v>7.9771082289189718E-4</v>
      </c>
      <c r="AY166" s="426">
        <f>AX166*Indeksacja!AY$61</f>
        <v>8.0995328322063496E-4</v>
      </c>
      <c r="AZ166" s="426">
        <f>AY166*Indeksacja!AZ$61</f>
        <v>8.2227555543147796E-4</v>
      </c>
      <c r="BA166" s="426">
        <f>AZ166*Indeksacja!BA$61</f>
        <v>8.3478529325988642E-4</v>
      </c>
      <c r="BB166" s="426">
        <f>BA166*Indeksacja!BB$61</f>
        <v>8.4748534872512813E-4</v>
      </c>
      <c r="BC166" s="426">
        <f>BB166*Indeksacja!BC$61</f>
        <v>8.60378617235835E-4</v>
      </c>
      <c r="BD166" s="426">
        <f>BC166*Indeksacja!BD$61</f>
        <v>8.7346803825010932E-4</v>
      </c>
      <c r="BE166" s="426">
        <f>BD166*Indeksacja!BE$61</f>
        <v>8.8745882768955452E-4</v>
      </c>
      <c r="BF166" s="426">
        <f>BE166*Indeksacja!BF$61</f>
        <v>9.0167371484129962E-4</v>
      </c>
      <c r="BG166" s="426">
        <f>BF166*Indeksacja!BG$61</f>
        <v>9.1611628919433484E-4</v>
      </c>
      <c r="BH166" s="426">
        <f>BG166*Indeksacja!BH$61</f>
        <v>9.3152671688495722E-4</v>
      </c>
      <c r="BI166" s="426">
        <f>BH166*Indeksacja!BI$61</f>
        <v>9.4719637070703145E-4</v>
      </c>
    </row>
    <row r="167" spans="1:61">
      <c r="A167" s="831"/>
      <c r="B167" s="423" t="s">
        <v>227</v>
      </c>
      <c r="C167" s="430"/>
      <c r="D167" s="430"/>
      <c r="E167" s="430"/>
      <c r="F167" s="430"/>
      <c r="G167" s="430"/>
      <c r="H167" s="430"/>
      <c r="I167" s="430"/>
      <c r="J167" s="430"/>
      <c r="K167" s="430"/>
      <c r="L167" s="430"/>
      <c r="M167" s="430"/>
      <c r="N167" s="430"/>
      <c r="O167" s="430"/>
      <c r="P167" s="431"/>
      <c r="Q167" s="437">
        <f>AVERAGE(W25:W26)*$B$98*$Q$101*$Q$105/100</f>
        <v>6.0323557271630193E-4</v>
      </c>
      <c r="R167" s="434">
        <f>Q167*Indeksacja!R$61</f>
        <v>6.3892744622535969E-4</v>
      </c>
      <c r="S167" s="427">
        <f>R167*Indeksacja!S$61</f>
        <v>6.7721000456093857E-4</v>
      </c>
      <c r="T167" s="427">
        <f>S167*Indeksacja!T$61</f>
        <v>7.1885392386823624E-4</v>
      </c>
      <c r="U167" s="427">
        <f>T167*Indeksacja!U$61</f>
        <v>7.3017276108792994E-4</v>
      </c>
      <c r="V167" s="427">
        <f>U167*Indeksacja!V$61</f>
        <v>8.0380898840395876E-4</v>
      </c>
      <c r="W167" s="427">
        <f>V167*Indeksacja!W$61</f>
        <v>8.2952548780985318E-4</v>
      </c>
      <c r="X167" s="427">
        <f>W167*Indeksacja!X$61</f>
        <v>8.5218516153008617E-4</v>
      </c>
      <c r="Y167" s="427">
        <f>X167*Indeksacja!Y$61</f>
        <v>8.7422015612376733E-4</v>
      </c>
      <c r="Z167" s="427">
        <f>Y167*Indeksacja!Z$61</f>
        <v>8.9765558701027396E-4</v>
      </c>
      <c r="AA167" s="427">
        <f>Z167*Indeksacja!AA$61</f>
        <v>9.211335039693209E-4</v>
      </c>
      <c r="AB167" s="427">
        <f>AA167*Indeksacja!AB$61</f>
        <v>9.4536397679353609E-4</v>
      </c>
      <c r="AC167" s="427">
        <f>AB167*Indeksacja!AC$61</f>
        <v>9.6961448606068502E-4</v>
      </c>
      <c r="AD167" s="427">
        <f>AC167*Indeksacja!AD$61</f>
        <v>9.9385027484771241E-4</v>
      </c>
      <c r="AE167" s="427">
        <f>AD167*Indeksacja!AE$61</f>
        <v>1.0180343851602513E-3</v>
      </c>
      <c r="AF167" s="427">
        <f>AE167*Indeksacja!AF$61</f>
        <v>1.042968266871039E-3</v>
      </c>
      <c r="AG167" s="427">
        <f>AF167*Indeksacja!AG$61</f>
        <v>1.0678306295394838E-3</v>
      </c>
      <c r="AH167" s="427">
        <f>AG167*Indeksacja!AH$61</f>
        <v>1.0934329202820176E-3</v>
      </c>
      <c r="AI167" s="427">
        <f>AH167*Indeksacja!AI$61</f>
        <v>1.1189079288896964E-3</v>
      </c>
      <c r="AJ167" s="427">
        <f>AI167*Indeksacja!AJ$61</f>
        <v>1.1442002273507708E-3</v>
      </c>
      <c r="AK167" s="427">
        <f>AJ167*Indeksacja!AK$61</f>
        <v>1.1692694075686996E-3</v>
      </c>
      <c r="AL167" s="427">
        <f>AK167*Indeksacja!AL$61</f>
        <v>1.1940601744680956E-3</v>
      </c>
      <c r="AM167" s="427">
        <f>AL167*Indeksacja!AM$61</f>
        <v>1.2185163586484261E-3</v>
      </c>
      <c r="AN167" s="427">
        <f>AM167*Indeksacja!AN$61</f>
        <v>1.2425794706760215E-3</v>
      </c>
      <c r="AO167" s="427">
        <f>AN167*Indeksacja!AO$61</f>
        <v>1.2671971255762591E-3</v>
      </c>
      <c r="AP167" s="427">
        <f>AO167*Indeksacja!AP$61</f>
        <v>1.2903280919852403E-3</v>
      </c>
      <c r="AQ167" s="427">
        <f>AP167*Indeksacja!AQ$61</f>
        <v>1.3139445204891267E-3</v>
      </c>
      <c r="AR167" s="427">
        <f>AQ167*Indeksacja!AR$61</f>
        <v>1.3380475161565003E-3</v>
      </c>
      <c r="AS167" s="427">
        <f>AR167*Indeksacja!AS$61</f>
        <v>1.3615728928364202E-3</v>
      </c>
      <c r="AT167" s="427">
        <f>AS167*Indeksacja!AT$61</f>
        <v>1.3844692685155535E-3</v>
      </c>
      <c r="AU167" s="427">
        <f>AT167*Indeksacja!AU$61</f>
        <v>1.4066858819697715E-3</v>
      </c>
      <c r="AV167" s="427">
        <f>AU167*Indeksacja!AV$61</f>
        <v>1.4293085681671169E-3</v>
      </c>
      <c r="AW167" s="427">
        <f>AV167*Indeksacja!AW$61</f>
        <v>1.4523335730520757E-3</v>
      </c>
      <c r="AX167" s="427">
        <f>AW167*Indeksacja!AX$61</f>
        <v>1.4757650223500092E-3</v>
      </c>
      <c r="AY167" s="427">
        <f>AX167*Indeksacja!AY$61</f>
        <v>1.498413573958174E-3</v>
      </c>
      <c r="AZ167" s="427">
        <f>AY167*Indeksacja!AZ$61</f>
        <v>1.5212097775482336E-3</v>
      </c>
      <c r="BA167" s="427">
        <f>AZ167*Indeksacja!BA$61</f>
        <v>1.5443527925307892E-3</v>
      </c>
      <c r="BB167" s="427">
        <f>BA167*Indeksacja!BB$61</f>
        <v>1.5678478951414864E-3</v>
      </c>
      <c r="BC167" s="427">
        <f>BB167*Indeksacja!BC$61</f>
        <v>1.591700441886294E-3</v>
      </c>
      <c r="BD167" s="427">
        <f>BC167*Indeksacja!BD$61</f>
        <v>1.6159158707627014E-3</v>
      </c>
      <c r="BE167" s="427">
        <f>BD167*Indeksacja!BE$61</f>
        <v>1.6417988312256752E-3</v>
      </c>
      <c r="BF167" s="427">
        <f>BE167*Indeksacja!BF$61</f>
        <v>1.6680963724564036E-3</v>
      </c>
      <c r="BG167" s="427">
        <f>BF167*Indeksacja!BG$61</f>
        <v>1.6948151350095189E-3</v>
      </c>
      <c r="BH167" s="427">
        <f>BG167*Indeksacja!BH$61</f>
        <v>1.7233244262371702E-3</v>
      </c>
      <c r="BI167" s="427">
        <f>BH167*Indeksacja!BI$61</f>
        <v>1.7523132858080074E-3</v>
      </c>
    </row>
    <row r="168" spans="1:61">
      <c r="A168" s="831"/>
      <c r="B168" s="421" t="s">
        <v>245</v>
      </c>
      <c r="C168" s="396"/>
      <c r="D168" s="396"/>
      <c r="E168" s="396"/>
      <c r="F168" s="396"/>
      <c r="G168" s="396"/>
      <c r="H168" s="396"/>
      <c r="I168" s="396"/>
      <c r="J168" s="396"/>
      <c r="K168" s="396"/>
      <c r="L168" s="396"/>
      <c r="M168" s="396"/>
      <c r="N168" s="396"/>
      <c r="O168" s="396"/>
      <c r="P168" s="432"/>
      <c r="Q168" s="393">
        <f>Q166*$B$90+Q167*$B$91</f>
        <v>3.6764762607439483E-4</v>
      </c>
      <c r="R168" s="393">
        <f>R166*$B$90+R167*$B$91</f>
        <v>3.8940037601032057E-4</v>
      </c>
      <c r="S168" s="393">
        <f t="shared" ref="S168:BI168" si="73">S166*$B$90+S167*$B$91</f>
        <v>4.1273204332024769E-4</v>
      </c>
      <c r="T168" s="393">
        <f t="shared" si="73"/>
        <v>4.3811232387104668E-4</v>
      </c>
      <c r="U168" s="393">
        <f t="shared" si="73"/>
        <v>4.4501069628467079E-4</v>
      </c>
      <c r="V168" s="393">
        <f t="shared" si="73"/>
        <v>4.8988899158133154E-4</v>
      </c>
      <c r="W168" s="393">
        <f t="shared" si="73"/>
        <v>5.0556215540843751E-4</v>
      </c>
      <c r="X168" s="393">
        <f t="shared" si="73"/>
        <v>5.1937230790549845E-4</v>
      </c>
      <c r="Y168" s="393">
        <f t="shared" si="73"/>
        <v>5.3280174379975547E-4</v>
      </c>
      <c r="Z168" s="393">
        <f t="shared" si="73"/>
        <v>5.4708468884004532E-4</v>
      </c>
      <c r="AA168" s="393">
        <f t="shared" si="73"/>
        <v>5.6139352741914014E-4</v>
      </c>
      <c r="AB168" s="393">
        <f t="shared" si="73"/>
        <v>5.7616101828903343E-4</v>
      </c>
      <c r="AC168" s="393">
        <f t="shared" si="73"/>
        <v>5.9094072055860668E-4</v>
      </c>
      <c r="AD168" s="393">
        <f t="shared" si="73"/>
        <v>6.0571145129232197E-4</v>
      </c>
      <c r="AE168" s="393">
        <f t="shared" si="73"/>
        <v>6.2045068609090982E-4</v>
      </c>
      <c r="AF168" s="393">
        <f t="shared" si="73"/>
        <v>6.3564687616059266E-4</v>
      </c>
      <c r="AG168" s="393">
        <f t="shared" si="73"/>
        <v>6.507994782733881E-4</v>
      </c>
      <c r="AH168" s="393">
        <f t="shared" si="73"/>
        <v>6.6640303655025662E-4</v>
      </c>
      <c r="AI168" s="393">
        <f t="shared" si="73"/>
        <v>6.8192902152601769E-4</v>
      </c>
      <c r="AJ168" s="393">
        <f t="shared" si="73"/>
        <v>6.9734365207459138E-4</v>
      </c>
      <c r="AK168" s="393">
        <f t="shared" si="73"/>
        <v>7.1262230109930206E-4</v>
      </c>
      <c r="AL168" s="393">
        <f t="shared" si="73"/>
        <v>7.2773126849339344E-4</v>
      </c>
      <c r="AM168" s="393">
        <f t="shared" si="73"/>
        <v>7.4263632128437863E-4</v>
      </c>
      <c r="AN168" s="393">
        <f t="shared" si="73"/>
        <v>7.573018125336294E-4</v>
      </c>
      <c r="AO168" s="393">
        <f t="shared" si="73"/>
        <v>7.723052751822877E-4</v>
      </c>
      <c r="AP168" s="393">
        <f t="shared" si="73"/>
        <v>7.8640266146668032E-4</v>
      </c>
      <c r="AQ168" s="393">
        <f t="shared" si="73"/>
        <v>8.0079591721702193E-4</v>
      </c>
      <c r="AR168" s="393">
        <f t="shared" si="73"/>
        <v>8.1548571592781314E-4</v>
      </c>
      <c r="AS168" s="393">
        <f t="shared" si="73"/>
        <v>8.2982347928273734E-4</v>
      </c>
      <c r="AT168" s="393">
        <f t="shared" si="73"/>
        <v>8.437778920277225E-4</v>
      </c>
      <c r="AU168" s="393">
        <f t="shared" si="73"/>
        <v>8.5731801725455014E-4</v>
      </c>
      <c r="AV168" s="393">
        <f t="shared" si="73"/>
        <v>8.7110562735590524E-4</v>
      </c>
      <c r="AW168" s="393">
        <f t="shared" si="73"/>
        <v>8.8513843438714371E-4</v>
      </c>
      <c r="AX168" s="393">
        <f t="shared" si="73"/>
        <v>8.9941895281061396E-4</v>
      </c>
      <c r="AY168" s="393">
        <f t="shared" si="73"/>
        <v>9.1322232683126582E-4</v>
      </c>
      <c r="AZ168" s="393">
        <f t="shared" si="73"/>
        <v>9.2711568874899127E-4</v>
      </c>
      <c r="BA168" s="393">
        <f t="shared" si="73"/>
        <v>9.4122041815052179E-4</v>
      </c>
      <c r="BB168" s="393">
        <f t="shared" si="73"/>
        <v>9.5553973068758188E-4</v>
      </c>
      <c r="BC168" s="393">
        <f t="shared" si="73"/>
        <v>9.7007689093340393E-4</v>
      </c>
      <c r="BD168" s="393">
        <f t="shared" si="73"/>
        <v>9.8483521312699813E-4</v>
      </c>
      <c r="BE168" s="393">
        <f t="shared" si="73"/>
        <v>1.0006098282199726E-3</v>
      </c>
      <c r="BF168" s="393">
        <f t="shared" si="73"/>
        <v>1.0166371134835651E-3</v>
      </c>
      <c r="BG168" s="393">
        <f t="shared" si="73"/>
        <v>1.0329211160666125E-3</v>
      </c>
      <c r="BH168" s="393">
        <f t="shared" si="73"/>
        <v>1.0502963732877892E-3</v>
      </c>
      <c r="BI168" s="393">
        <f t="shared" si="73"/>
        <v>1.0679639079721778E-3</v>
      </c>
    </row>
    <row r="169" spans="1:61">
      <c r="A169" s="831" t="s">
        <v>180</v>
      </c>
      <c r="B169" s="422" t="s">
        <v>226</v>
      </c>
      <c r="C169" s="428"/>
      <c r="D169" s="428"/>
      <c r="E169" s="428"/>
      <c r="F169" s="428"/>
      <c r="G169" s="428"/>
      <c r="H169" s="428"/>
      <c r="I169" s="428"/>
      <c r="J169" s="428"/>
      <c r="K169" s="428"/>
      <c r="L169" s="428"/>
      <c r="M169" s="428"/>
      <c r="N169" s="428"/>
      <c r="O169" s="428"/>
      <c r="P169" s="429"/>
      <c r="Q169" s="436">
        <f>AVERAGE(W27:W28)*$B$98*$Q$101*$Q$105/100</f>
        <v>4.0680403851534978E-3</v>
      </c>
      <c r="R169" s="433">
        <f>Q169*Indeksacja!R$61</f>
        <v>4.3087357111980746E-3</v>
      </c>
      <c r="S169" s="426">
        <f>R169*Indeksacja!S$61</f>
        <v>4.5669018413134997E-3</v>
      </c>
      <c r="T169" s="426">
        <f>S169*Indeksacja!T$61</f>
        <v>4.8477359850549401E-3</v>
      </c>
      <c r="U169" s="426">
        <f>T169*Indeksacja!U$61</f>
        <v>4.9240668398739867E-3</v>
      </c>
      <c r="V169" s="426">
        <f>U169*Indeksacja!V$61</f>
        <v>5.4206475457880708E-3</v>
      </c>
      <c r="W169" s="426">
        <f>V169*Indeksacja!W$61</f>
        <v>5.5940719306877898E-3</v>
      </c>
      <c r="X169" s="426">
        <f>W169*Indeksacja!X$61</f>
        <v>5.7468819968999512E-3</v>
      </c>
      <c r="Y169" s="426">
        <f>X169*Indeksacja!Y$61</f>
        <v>5.8954794138097307E-3</v>
      </c>
      <c r="Z169" s="426">
        <f>Y169*Indeksacja!Z$61</f>
        <v>6.0535209544643944E-3</v>
      </c>
      <c r="AA169" s="426">
        <f>Z169*Indeksacja!AA$61</f>
        <v>6.2118490084924691E-3</v>
      </c>
      <c r="AB169" s="426">
        <f>AA169*Indeksacja!AB$61</f>
        <v>6.3752520743236502E-3</v>
      </c>
      <c r="AC169" s="426">
        <f>AB169*Indeksacja!AC$61</f>
        <v>6.5387902599367467E-3</v>
      </c>
      <c r="AD169" s="426">
        <f>AC169*Indeksacja!AD$61</f>
        <v>6.7022291750321013E-3</v>
      </c>
      <c r="AE169" s="426">
        <f>AD169*Indeksacja!AE$61</f>
        <v>6.8653195859430692E-3</v>
      </c>
      <c r="AF169" s="426">
        <f>AE169*Indeksacja!AF$61</f>
        <v>7.0334662310445641E-3</v>
      </c>
      <c r="AG169" s="426">
        <f>AF169*Indeksacja!AG$61</f>
        <v>7.2011305731027406E-3</v>
      </c>
      <c r="AH169" s="426">
        <f>AG169*Indeksacja!AH$61</f>
        <v>7.3737847689156434E-3</v>
      </c>
      <c r="AI169" s="426">
        <f>AH169*Indeksacja!AI$61</f>
        <v>7.545580612057852E-3</v>
      </c>
      <c r="AJ169" s="426">
        <f>AI169*Indeksacja!AJ$61</f>
        <v>7.7161443125864917E-3</v>
      </c>
      <c r="AK169" s="426">
        <f>AJ169*Indeksacja!AK$61</f>
        <v>7.8852033703771494E-3</v>
      </c>
      <c r="AL169" s="426">
        <f>AK169*Indeksacja!AL$61</f>
        <v>8.0523848919700387E-3</v>
      </c>
      <c r="AM169" s="426">
        <f>AL169*Indeksacja!AM$61</f>
        <v>8.217310087717946E-3</v>
      </c>
      <c r="AN169" s="426">
        <f>AM169*Indeksacja!AN$61</f>
        <v>8.3795845223636773E-3</v>
      </c>
      <c r="AO169" s="426">
        <f>AN169*Indeksacja!AO$61</f>
        <v>8.5455986283803267E-3</v>
      </c>
      <c r="AP169" s="426">
        <f>AO169*Indeksacja!AP$61</f>
        <v>8.7015869516081056E-3</v>
      </c>
      <c r="AQ169" s="426">
        <f>AP169*Indeksacja!AQ$61</f>
        <v>8.8608490860911503E-3</v>
      </c>
      <c r="AR169" s="426">
        <f>AQ169*Indeksacja!AR$61</f>
        <v>9.0233924840816548E-3</v>
      </c>
      <c r="AS169" s="426">
        <f>AR169*Indeksacja!AS$61</f>
        <v>9.1820405922807893E-3</v>
      </c>
      <c r="AT169" s="426">
        <f>AS169*Indeksacja!AT$61</f>
        <v>9.336446905749583E-3</v>
      </c>
      <c r="AU169" s="426">
        <f>AT169*Indeksacja!AU$61</f>
        <v>9.4862691059658961E-3</v>
      </c>
      <c r="AV169" s="426">
        <f>AU169*Indeksacja!AV$61</f>
        <v>9.6388297393798957E-3</v>
      </c>
      <c r="AW169" s="426">
        <f>AV169*Indeksacja!AW$61</f>
        <v>9.7941034897633464E-3</v>
      </c>
      <c r="AX169" s="426">
        <f>AW169*Indeksacja!AX$61</f>
        <v>9.9521181797748368E-3</v>
      </c>
      <c r="AY169" s="426">
        <f>AX169*Indeksacja!AY$61</f>
        <v>1.0104853241787797E-2</v>
      </c>
      <c r="AZ169" s="426">
        <f>AY169*Indeksacja!AZ$61</f>
        <v>1.0258584024630996E-2</v>
      </c>
      <c r="BA169" s="426">
        <f>AZ169*Indeksacja!BA$61</f>
        <v>1.041465359983744E-2</v>
      </c>
      <c r="BB169" s="426">
        <f>BA169*Indeksacja!BB$61</f>
        <v>1.0573097548763163E-2</v>
      </c>
      <c r="BC169" s="426">
        <f>BB169*Indeksacja!BC$61</f>
        <v>1.0733951994083273E-2</v>
      </c>
      <c r="BD169" s="426">
        <f>BC169*Indeksacja!BD$61</f>
        <v>1.0897253608027326E-2</v>
      </c>
      <c r="BE169" s="426">
        <f>BD169*Indeksacja!BE$61</f>
        <v>1.1071800556537982E-2</v>
      </c>
      <c r="BF169" s="426">
        <f>BE169*Indeksacja!BF$61</f>
        <v>1.124914331382122E-2</v>
      </c>
      <c r="BG169" s="426">
        <f>BF169*Indeksacja!BG$61</f>
        <v>1.1429326661792506E-2</v>
      </c>
      <c r="BH169" s="426">
        <f>BG169*Indeksacja!BH$61</f>
        <v>1.1621584799925769E-2</v>
      </c>
      <c r="BI169" s="426">
        <f>BH169*Indeksacja!BI$61</f>
        <v>1.1817077003614444E-2</v>
      </c>
    </row>
    <row r="170" spans="1:61">
      <c r="A170" s="831"/>
      <c r="B170" s="423" t="s">
        <v>227</v>
      </c>
      <c r="C170" s="430"/>
      <c r="D170" s="430"/>
      <c r="E170" s="430"/>
      <c r="F170" s="430"/>
      <c r="G170" s="430"/>
      <c r="H170" s="430"/>
      <c r="I170" s="430"/>
      <c r="J170" s="430"/>
      <c r="K170" s="430"/>
      <c r="L170" s="430"/>
      <c r="M170" s="430"/>
      <c r="N170" s="430"/>
      <c r="O170" s="430"/>
      <c r="P170" s="431"/>
      <c r="Q170" s="437">
        <f>AVERAGE(W29:W30)*$B$98*$Q$101*$Q$105/100</f>
        <v>7.4104303232255617E-3</v>
      </c>
      <c r="R170" s="434">
        <f>Q170*Indeksacja!R$61</f>
        <v>7.8488861333716291E-3</v>
      </c>
      <c r="S170" s="427">
        <f>R170*Indeksacja!S$61</f>
        <v>8.3191671379602688E-3</v>
      </c>
      <c r="T170" s="427">
        <f>S170*Indeksacja!T$61</f>
        <v>8.8307406862892721E-3</v>
      </c>
      <c r="U170" s="427">
        <f>T170*Indeksacja!U$61</f>
        <v>8.969786621824509E-3</v>
      </c>
      <c r="V170" s="427">
        <f>U170*Indeksacja!V$61</f>
        <v>9.8743687725977337E-3</v>
      </c>
      <c r="W170" s="427">
        <f>V170*Indeksacja!W$61</f>
        <v>1.0190282381847491E-2</v>
      </c>
      <c r="X170" s="427">
        <f>W170*Indeksacja!X$61</f>
        <v>1.0468644502460997E-2</v>
      </c>
      <c r="Y170" s="427">
        <f>X170*Indeksacja!Y$61</f>
        <v>1.0739332770020975E-2</v>
      </c>
      <c r="Z170" s="427">
        <f>Y170*Indeksacja!Z$61</f>
        <v>1.1027224657591903E-2</v>
      </c>
      <c r="AA170" s="427">
        <f>Z170*Indeksacja!AA$61</f>
        <v>1.131563846411872E-2</v>
      </c>
      <c r="AB170" s="427">
        <f>AA170*Indeksacja!AB$61</f>
        <v>1.161329702187606E-2</v>
      </c>
      <c r="AC170" s="427">
        <f>AB170*Indeksacja!AC$61</f>
        <v>1.1911201716749645E-2</v>
      </c>
      <c r="AD170" s="427">
        <f>AC170*Indeksacja!AD$61</f>
        <v>1.2208925578301725E-2</v>
      </c>
      <c r="AE170" s="427">
        <f>AD170*Indeksacja!AE$61</f>
        <v>1.2506014597096299E-2</v>
      </c>
      <c r="AF170" s="427">
        <f>AE170*Indeksacja!AF$61</f>
        <v>1.281231416141632E-2</v>
      </c>
      <c r="AG170" s="427">
        <f>AF170*Indeksacja!AG$61</f>
        <v>1.3117735152084458E-2</v>
      </c>
      <c r="AH170" s="427">
        <f>AG170*Indeksacja!AH$61</f>
        <v>1.3432245768240935E-2</v>
      </c>
      <c r="AI170" s="427">
        <f>AH170*Indeksacja!AI$61</f>
        <v>1.37451927906135E-2</v>
      </c>
      <c r="AJ170" s="427">
        <f>AI170*Indeksacja!AJ$61</f>
        <v>1.4055895315360266E-2</v>
      </c>
      <c r="AK170" s="427">
        <f>AJ170*Indeksacja!AK$61</f>
        <v>1.4363856950362708E-2</v>
      </c>
      <c r="AL170" s="427">
        <f>AK170*Indeksacja!AL$61</f>
        <v>1.4668398424831917E-2</v>
      </c>
      <c r="AM170" s="427">
        <f>AL170*Indeksacja!AM$61</f>
        <v>1.4968829727356482E-2</v>
      </c>
      <c r="AN170" s="427">
        <f>AM170*Indeksacja!AN$61</f>
        <v>1.526443234614357E-2</v>
      </c>
      <c r="AO170" s="427">
        <f>AN170*Indeksacja!AO$61</f>
        <v>1.5566847231157682E-2</v>
      </c>
      <c r="AP170" s="427">
        <f>AO170*Indeksacja!AP$61</f>
        <v>1.5850998933469907E-2</v>
      </c>
      <c r="AQ170" s="427">
        <f>AP170*Indeksacja!AQ$61</f>
        <v>1.6141114281149831E-2</v>
      </c>
      <c r="AR170" s="427">
        <f>AQ170*Indeksacja!AR$61</f>
        <v>1.6437206849381183E-2</v>
      </c>
      <c r="AS170" s="427">
        <f>AR170*Indeksacja!AS$61</f>
        <v>1.6726203673506093E-2</v>
      </c>
      <c r="AT170" s="427">
        <f>AS170*Indeksacja!AT$61</f>
        <v>1.7007473552635734E-2</v>
      </c>
      <c r="AU170" s="427">
        <f>AT170*Indeksacja!AU$61</f>
        <v>1.7280392911948692E-2</v>
      </c>
      <c r="AV170" s="427">
        <f>AU170*Indeksacja!AV$61</f>
        <v>1.7558300660383924E-2</v>
      </c>
      <c r="AW170" s="427">
        <f>AV170*Indeksacja!AW$61</f>
        <v>1.7841150681352697E-2</v>
      </c>
      <c r="AX170" s="427">
        <f>AW170*Indeksacja!AX$61</f>
        <v>1.8128993657211465E-2</v>
      </c>
      <c r="AY170" s="427">
        <f>AX170*Indeksacja!AY$61</f>
        <v>1.8407219148553994E-2</v>
      </c>
      <c r="AZ170" s="427">
        <f>AY170*Indeksacja!AZ$61</f>
        <v>1.8687258466489987E-2</v>
      </c>
      <c r="BA170" s="427">
        <f>AZ170*Indeksacja!BA$61</f>
        <v>1.8971558179163347E-2</v>
      </c>
      <c r="BB170" s="427">
        <f>BA170*Indeksacja!BB$61</f>
        <v>1.9260183102341559E-2</v>
      </c>
      <c r="BC170" s="427">
        <f>BB170*Indeksacja!BC$61</f>
        <v>1.9553199037870624E-2</v>
      </c>
      <c r="BD170" s="427">
        <f>BC170*Indeksacja!BD$61</f>
        <v>1.9850672788676818E-2</v>
      </c>
      <c r="BE170" s="427">
        <f>BD170*Indeksacja!BE$61</f>
        <v>2.0168631284071904E-2</v>
      </c>
      <c r="BF170" s="427">
        <f>BE170*Indeksacja!BF$61</f>
        <v>2.0491682685177048E-2</v>
      </c>
      <c r="BG170" s="427">
        <f>BF170*Indeksacja!BG$61</f>
        <v>2.0819908567697717E-2</v>
      </c>
      <c r="BH170" s="427">
        <f>BG170*Indeksacja!BH$61</f>
        <v>2.1170130149053983E-2</v>
      </c>
      <c r="BI170" s="427">
        <f>BH170*Indeksacja!BI$61</f>
        <v>2.1526242974151732E-2</v>
      </c>
    </row>
    <row r="171" spans="1:61">
      <c r="A171" s="831"/>
      <c r="B171" s="421" t="s">
        <v>245</v>
      </c>
      <c r="C171" s="396"/>
      <c r="D171" s="396"/>
      <c r="E171" s="396"/>
      <c r="F171" s="396"/>
      <c r="G171" s="396"/>
      <c r="H171" s="396"/>
      <c r="I171" s="396"/>
      <c r="J171" s="396"/>
      <c r="K171" s="396"/>
      <c r="L171" s="396"/>
      <c r="M171" s="396"/>
      <c r="N171" s="396"/>
      <c r="O171" s="396"/>
      <c r="P171" s="432"/>
      <c r="Q171" s="393">
        <f>Q169*$B$90+Q170*$B$91</f>
        <v>4.569398875864307E-3</v>
      </c>
      <c r="R171" s="393">
        <f>R169*$B$90+R170*$B$91</f>
        <v>4.8397582745241079E-3</v>
      </c>
      <c r="S171" s="393">
        <f t="shared" ref="S171:BI171" si="74">S169*$B$90+S170*$B$91</f>
        <v>5.1297416358105155E-3</v>
      </c>
      <c r="T171" s="393">
        <f t="shared" si="74"/>
        <v>5.4451866902400902E-3</v>
      </c>
      <c r="U171" s="393">
        <f t="shared" si="74"/>
        <v>5.5309248071665649E-3</v>
      </c>
      <c r="V171" s="393">
        <f t="shared" si="74"/>
        <v>6.0887057298095208E-3</v>
      </c>
      <c r="W171" s="393">
        <f t="shared" si="74"/>
        <v>6.2835034983617444E-3</v>
      </c>
      <c r="X171" s="393">
        <f t="shared" si="74"/>
        <v>6.4551463727341085E-3</v>
      </c>
      <c r="Y171" s="393">
        <f t="shared" si="74"/>
        <v>6.6220574172414174E-3</v>
      </c>
      <c r="Z171" s="393">
        <f t="shared" si="74"/>
        <v>6.7995765099335206E-3</v>
      </c>
      <c r="AA171" s="393">
        <f t="shared" si="74"/>
        <v>6.977417426836407E-3</v>
      </c>
      <c r="AB171" s="393">
        <f t="shared" si="74"/>
        <v>7.160958816456512E-3</v>
      </c>
      <c r="AC171" s="393">
        <f t="shared" si="74"/>
        <v>7.344651978458681E-3</v>
      </c>
      <c r="AD171" s="393">
        <f t="shared" si="74"/>
        <v>7.5282336355225448E-3</v>
      </c>
      <c r="AE171" s="393">
        <f t="shared" si="74"/>
        <v>7.711423837616054E-3</v>
      </c>
      <c r="AF171" s="393">
        <f t="shared" si="74"/>
        <v>7.9002934206003281E-3</v>
      </c>
      <c r="AG171" s="393">
        <f t="shared" si="74"/>
        <v>8.088621259949998E-3</v>
      </c>
      <c r="AH171" s="393">
        <f t="shared" si="74"/>
        <v>8.2825539188144375E-3</v>
      </c>
      <c r="AI171" s="393">
        <f t="shared" si="74"/>
        <v>8.4755224388411987E-3</v>
      </c>
      <c r="AJ171" s="393">
        <f t="shared" si="74"/>
        <v>8.667106963002557E-3</v>
      </c>
      <c r="AK171" s="393">
        <f t="shared" si="74"/>
        <v>8.8570014073749842E-3</v>
      </c>
      <c r="AL171" s="393">
        <f t="shared" si="74"/>
        <v>9.0447869218993199E-3</v>
      </c>
      <c r="AM171" s="393">
        <f t="shared" si="74"/>
        <v>9.2300380336637258E-3</v>
      </c>
      <c r="AN171" s="393">
        <f t="shared" si="74"/>
        <v>9.4123116959306617E-3</v>
      </c>
      <c r="AO171" s="393">
        <f t="shared" si="74"/>
        <v>9.5987859187969295E-3</v>
      </c>
      <c r="AP171" s="393">
        <f t="shared" si="74"/>
        <v>9.7739987488873747E-3</v>
      </c>
      <c r="AQ171" s="393">
        <f t="shared" si="74"/>
        <v>9.9528888653499532E-3</v>
      </c>
      <c r="AR171" s="393">
        <f t="shared" si="74"/>
        <v>1.0135464638876584E-2</v>
      </c>
      <c r="AS171" s="393">
        <f t="shared" si="74"/>
        <v>1.0313665054464585E-2</v>
      </c>
      <c r="AT171" s="393">
        <f t="shared" si="74"/>
        <v>1.0487100902782506E-2</v>
      </c>
      <c r="AU171" s="393">
        <f t="shared" si="74"/>
        <v>1.0655387676863316E-2</v>
      </c>
      <c r="AV171" s="393">
        <f t="shared" si="74"/>
        <v>1.0826750377530499E-2</v>
      </c>
      <c r="AW171" s="393">
        <f t="shared" si="74"/>
        <v>1.1001160568501749E-2</v>
      </c>
      <c r="AX171" s="393">
        <f t="shared" si="74"/>
        <v>1.1178649501390331E-2</v>
      </c>
      <c r="AY171" s="393">
        <f t="shared" si="74"/>
        <v>1.1350208127802727E-2</v>
      </c>
      <c r="AZ171" s="393">
        <f t="shared" si="74"/>
        <v>1.1522885190909845E-2</v>
      </c>
      <c r="BA171" s="393">
        <f t="shared" si="74"/>
        <v>1.1698189286736327E-2</v>
      </c>
      <c r="BB171" s="393">
        <f t="shared" si="74"/>
        <v>1.1876160381799922E-2</v>
      </c>
      <c r="BC171" s="393">
        <f t="shared" si="74"/>
        <v>1.2056839050651375E-2</v>
      </c>
      <c r="BD171" s="393">
        <f t="shared" si="74"/>
        <v>1.2240266485124751E-2</v>
      </c>
      <c r="BE171" s="393">
        <f t="shared" si="74"/>
        <v>1.2436325165668071E-2</v>
      </c>
      <c r="BF171" s="393">
        <f t="shared" si="74"/>
        <v>1.2635524219524595E-2</v>
      </c>
      <c r="BG171" s="393">
        <f t="shared" si="74"/>
        <v>1.2837913947678288E-2</v>
      </c>
      <c r="BH171" s="393">
        <f t="shared" si="74"/>
        <v>1.3053866602295001E-2</v>
      </c>
      <c r="BI171" s="393">
        <f t="shared" si="74"/>
        <v>1.3273451899195038E-2</v>
      </c>
    </row>
    <row r="172" spans="1:61">
      <c r="A172" s="831" t="s">
        <v>783</v>
      </c>
      <c r="B172" s="422" t="s">
        <v>226</v>
      </c>
      <c r="C172" s="428"/>
      <c r="D172" s="428"/>
      <c r="E172" s="428"/>
      <c r="F172" s="428"/>
      <c r="G172" s="428"/>
      <c r="H172" s="428"/>
      <c r="I172" s="428"/>
      <c r="J172" s="428"/>
      <c r="K172" s="428"/>
      <c r="L172" s="428"/>
      <c r="M172" s="428"/>
      <c r="N172" s="428"/>
      <c r="O172" s="428"/>
      <c r="P172" s="429"/>
      <c r="Q172" s="436">
        <f>AVERAGE(W31:W32)*$B$98*$Q$101*$Q$105/100</f>
        <v>2.5807552064654317E-3</v>
      </c>
      <c r="R172" s="433">
        <f>Q172*Indeksacja!R$61</f>
        <v>2.7334517524801776E-3</v>
      </c>
      <c r="S172" s="426">
        <f>R172*Indeksacja!S$61</f>
        <v>2.8972317353092507E-3</v>
      </c>
      <c r="T172" s="426">
        <f>S172*Indeksacja!T$61</f>
        <v>3.0753922524120415E-3</v>
      </c>
      <c r="U172" s="426">
        <f>T172*Indeksacja!U$61</f>
        <v>3.1238163663188604E-3</v>
      </c>
      <c r="V172" s="426">
        <f>U172*Indeksacja!V$61</f>
        <v>3.4388459925966969E-3</v>
      </c>
      <c r="W172" s="426">
        <f>V172*Indeksacja!W$61</f>
        <v>3.5488660125285116E-3</v>
      </c>
      <c r="X172" s="426">
        <f>W172*Indeksacja!X$61</f>
        <v>3.6458083574021313E-3</v>
      </c>
      <c r="Y172" s="426">
        <f>X172*Indeksacja!Y$61</f>
        <v>3.7400782075139457E-3</v>
      </c>
      <c r="Z172" s="426">
        <f>Y172*Indeksacja!Z$61</f>
        <v>3.8403393874105046E-3</v>
      </c>
      <c r="AA172" s="426">
        <f>Z172*Indeksacja!AA$61</f>
        <v>3.9407823307140467E-3</v>
      </c>
      <c r="AB172" s="426">
        <f>AA172*Indeksacja!AB$61</f>
        <v>4.0444448495118588E-3</v>
      </c>
      <c r="AC172" s="426">
        <f>AB172*Indeksacja!AC$61</f>
        <v>4.1481930879799936E-3</v>
      </c>
      <c r="AD172" s="426">
        <f>AC172*Indeksacja!AD$61</f>
        <v>4.251878349466276E-3</v>
      </c>
      <c r="AE172" s="426">
        <f>AD172*Indeksacja!AE$61</f>
        <v>4.3553425207215933E-3</v>
      </c>
      <c r="AF172" s="426">
        <f>AE172*Indeksacja!AF$61</f>
        <v>4.4620143549981362E-3</v>
      </c>
      <c r="AG172" s="426">
        <f>AF172*Indeksacja!AG$61</f>
        <v>4.5683802173638105E-3</v>
      </c>
      <c r="AH172" s="426">
        <f>AG172*Indeksacja!AH$61</f>
        <v>4.6779116311591136E-3</v>
      </c>
      <c r="AI172" s="426">
        <f>AH172*Indeksacja!AI$61</f>
        <v>4.7868985080486469E-3</v>
      </c>
      <c r="AJ172" s="426">
        <f>AI172*Indeksacja!AJ$61</f>
        <v>4.8951037165760169E-3</v>
      </c>
      <c r="AK172" s="426">
        <f>AJ172*Indeksacja!AK$61</f>
        <v>5.0023543833062883E-3</v>
      </c>
      <c r="AL172" s="426">
        <f>AK172*Indeksacja!AL$61</f>
        <v>5.1084139455098189E-3</v>
      </c>
      <c r="AM172" s="426">
        <f>AL172*Indeksacja!AM$61</f>
        <v>5.2130420999295986E-3</v>
      </c>
      <c r="AN172" s="426">
        <f>AM172*Indeksacja!AN$61</f>
        <v>5.3159886177706209E-3</v>
      </c>
      <c r="AO172" s="426">
        <f>AN172*Indeksacja!AO$61</f>
        <v>5.4213075742915026E-3</v>
      </c>
      <c r="AP172" s="426">
        <f>AO172*Indeksacja!AP$61</f>
        <v>5.5202661979047518E-3</v>
      </c>
      <c r="AQ172" s="426">
        <f>AP172*Indeksacja!AQ$61</f>
        <v>5.6213017196414432E-3</v>
      </c>
      <c r="AR172" s="426">
        <f>AQ172*Indeksacja!AR$61</f>
        <v>5.7244188671927571E-3</v>
      </c>
      <c r="AS172" s="426">
        <f>AR172*Indeksacja!AS$61</f>
        <v>5.825064852106045E-3</v>
      </c>
      <c r="AT172" s="426">
        <f>AS172*Indeksacja!AT$61</f>
        <v>5.9230198524669094E-3</v>
      </c>
      <c r="AU172" s="426">
        <f>AT172*Indeksacja!AU$61</f>
        <v>6.0180667022138954E-3</v>
      </c>
      <c r="AV172" s="426">
        <f>AU172*Indeksacja!AV$61</f>
        <v>6.1148508075098383E-3</v>
      </c>
      <c r="AW172" s="426">
        <f>AV172*Indeksacja!AW$61</f>
        <v>6.2133561077993742E-3</v>
      </c>
      <c r="AX172" s="426">
        <f>AW172*Indeksacja!AX$61</f>
        <v>6.3136002537113592E-3</v>
      </c>
      <c r="AY172" s="426">
        <f>AX172*Indeksacja!AY$61</f>
        <v>6.4104950160982612E-3</v>
      </c>
      <c r="AZ172" s="426">
        <f>AY172*Indeksacja!AZ$61</f>
        <v>6.5080214614267103E-3</v>
      </c>
      <c r="BA172" s="426">
        <f>AZ172*Indeksacja!BA$61</f>
        <v>6.6070316311032037E-3</v>
      </c>
      <c r="BB172" s="426">
        <f>BA172*Indeksacja!BB$61</f>
        <v>6.7075480978559237E-3</v>
      </c>
      <c r="BC172" s="426">
        <f>BB172*Indeksacja!BC$61</f>
        <v>6.8095937778245895E-3</v>
      </c>
      <c r="BD172" s="426">
        <f>BC172*Indeksacja!BD$61</f>
        <v>6.9131919357849668E-3</v>
      </c>
      <c r="BE172" s="426">
        <f>BD172*Indeksacja!BE$61</f>
        <v>7.0239241074186391E-3</v>
      </c>
      <c r="BF172" s="426">
        <f>BE172*Indeksacja!BF$61</f>
        <v>7.1364299335303881E-3</v>
      </c>
      <c r="BG172" s="426">
        <f>BF172*Indeksacja!BG$61</f>
        <v>7.2507378236615532E-3</v>
      </c>
      <c r="BH172" s="426">
        <f>BG172*Indeksacja!BH$61</f>
        <v>7.3727059321354914E-3</v>
      </c>
      <c r="BI172" s="426">
        <f>BH172*Indeksacja!BI$61</f>
        <v>7.4967257241548152E-3</v>
      </c>
    </row>
    <row r="173" spans="1:61">
      <c r="A173" s="831"/>
      <c r="B173" s="423" t="s">
        <v>227</v>
      </c>
      <c r="C173" s="430"/>
      <c r="D173" s="430"/>
      <c r="E173" s="430"/>
      <c r="F173" s="430"/>
      <c r="G173" s="430"/>
      <c r="H173" s="430"/>
      <c r="I173" s="430"/>
      <c r="J173" s="430"/>
      <c r="K173" s="430"/>
      <c r="L173" s="430"/>
      <c r="M173" s="430"/>
      <c r="N173" s="430"/>
      <c r="O173" s="430"/>
      <c r="P173" s="431"/>
      <c r="Q173" s="437">
        <f>AVERAGE(W33:W34)*$B$98*$Q$101*$Q$105/100</f>
        <v>4.7015738414815768E-3</v>
      </c>
      <c r="R173" s="434">
        <f>Q173*Indeksacja!R$61</f>
        <v>4.9797536876866584E-3</v>
      </c>
      <c r="S173" s="427">
        <f>R173*Indeksacja!S$61</f>
        <v>5.278125141553484E-3</v>
      </c>
      <c r="T173" s="427">
        <f>S173*Indeksacja!T$61</f>
        <v>5.6026947964734203E-3</v>
      </c>
      <c r="U173" s="427">
        <f>T173*Indeksacja!U$61</f>
        <v>5.6909129841848528E-3</v>
      </c>
      <c r="V173" s="427">
        <f>U173*Indeksacja!V$61</f>
        <v>6.2648283429484362E-3</v>
      </c>
      <c r="W173" s="427">
        <f>V173*Indeksacja!W$61</f>
        <v>6.4652608545073854E-3</v>
      </c>
      <c r="X173" s="427">
        <f>W173*Indeksacja!X$61</f>
        <v>6.6418686907127921E-3</v>
      </c>
      <c r="Y173" s="427">
        <f>X173*Indeksacja!Y$61</f>
        <v>6.8136078235897608E-3</v>
      </c>
      <c r="Z173" s="427">
        <f>Y173*Indeksacja!Z$61</f>
        <v>6.9962618542924026E-3</v>
      </c>
      <c r="AA173" s="427">
        <f>Z173*Indeksacja!AA$61</f>
        <v>7.1792470183305391E-3</v>
      </c>
      <c r="AB173" s="427">
        <f>AA173*Indeksacja!AB$61</f>
        <v>7.3680975476255635E-3</v>
      </c>
      <c r="AC173" s="427">
        <f>AB173*Indeksacja!AC$61</f>
        <v>7.5571042394883044E-3</v>
      </c>
      <c r="AD173" s="427">
        <f>AC173*Indeksacja!AD$61</f>
        <v>7.745996201007869E-3</v>
      </c>
      <c r="AE173" s="427">
        <f>AD173*Indeksacja!AE$61</f>
        <v>7.9344853842848815E-3</v>
      </c>
      <c r="AF173" s="427">
        <f>AE173*Indeksacja!AF$61</f>
        <v>8.1288182308876921E-3</v>
      </c>
      <c r="AG173" s="427">
        <f>AF173*Indeksacja!AG$61</f>
        <v>8.3225936633162471E-3</v>
      </c>
      <c r="AH173" s="427">
        <f>AG173*Indeksacja!AH$61</f>
        <v>8.5221360409235315E-3</v>
      </c>
      <c r="AI173" s="427">
        <f>AH173*Indeksacja!AI$61</f>
        <v>8.720686390900503E-3</v>
      </c>
      <c r="AJ173" s="427">
        <f>AI173*Indeksacja!AJ$61</f>
        <v>8.9178127113860098E-3</v>
      </c>
      <c r="AK173" s="427">
        <f>AJ173*Indeksacja!AK$61</f>
        <v>9.1132000646371968E-3</v>
      </c>
      <c r="AL173" s="427">
        <f>AK173*Indeksacja!AL$61</f>
        <v>9.3064174848891731E-3</v>
      </c>
      <c r="AM173" s="427">
        <f>AL173*Indeksacja!AM$61</f>
        <v>9.4970271919509498E-3</v>
      </c>
      <c r="AN173" s="427">
        <f>AM173*Indeksacja!AN$61</f>
        <v>9.6845733234633066E-3</v>
      </c>
      <c r="AO173" s="427">
        <f>AN173*Indeksacja!AO$61</f>
        <v>9.8764415214815469E-3</v>
      </c>
      <c r="AP173" s="427">
        <f>AO173*Indeksacja!AP$61</f>
        <v>1.005672257836113E-2</v>
      </c>
      <c r="AQ173" s="427">
        <f>AP173*Indeksacja!AQ$61</f>
        <v>1.0240787291227973E-2</v>
      </c>
      <c r="AR173" s="427">
        <f>AQ173*Indeksacja!AR$61</f>
        <v>1.0428644272905616E-2</v>
      </c>
      <c r="AS173" s="427">
        <f>AR173*Indeksacja!AS$61</f>
        <v>1.0611999334529824E-2</v>
      </c>
      <c r="AT173" s="427">
        <f>AS173*Indeksacja!AT$61</f>
        <v>1.0790452008454568E-2</v>
      </c>
      <c r="AU173" s="427">
        <f>AT173*Indeksacja!AU$61</f>
        <v>1.0963606665419373E-2</v>
      </c>
      <c r="AV173" s="427">
        <f>AU173*Indeksacja!AV$61</f>
        <v>1.1139926223582279E-2</v>
      </c>
      <c r="AW173" s="427">
        <f>AV173*Indeksacja!AW$61</f>
        <v>1.1319381424109751E-2</v>
      </c>
      <c r="AX173" s="427">
        <f>AW173*Indeksacja!AX$61</f>
        <v>1.1502004422602871E-2</v>
      </c>
      <c r="AY173" s="427">
        <f>AX173*Indeksacja!AY$61</f>
        <v>1.1678525573881979E-2</v>
      </c>
      <c r="AZ173" s="427">
        <f>AY173*Indeksacja!AZ$61</f>
        <v>1.1856197513886281E-2</v>
      </c>
      <c r="BA173" s="427">
        <f>AZ173*Indeksacja!BA$61</f>
        <v>1.2036572476465239E-2</v>
      </c>
      <c r="BB173" s="427">
        <f>BA173*Indeksacja!BB$61</f>
        <v>1.221969158421277E-2</v>
      </c>
      <c r="BC173" s="427">
        <f>BB173*Indeksacja!BC$61</f>
        <v>1.2405596585343804E-2</v>
      </c>
      <c r="BD173" s="427">
        <f>BC173*Indeksacja!BD$61</f>
        <v>1.2594329863212213E-2</v>
      </c>
      <c r="BE173" s="427">
        <f>BD173*Indeksacja!BE$61</f>
        <v>1.2796059760049794E-2</v>
      </c>
      <c r="BF173" s="427">
        <f>BE173*Indeksacja!BF$61</f>
        <v>1.3001020869005852E-2</v>
      </c>
      <c r="BG173" s="427">
        <f>BF173*Indeksacja!BG$61</f>
        <v>1.320926494607649E-2</v>
      </c>
      <c r="BH173" s="427">
        <f>BG173*Indeksacja!BH$61</f>
        <v>1.343146427240525E-2</v>
      </c>
      <c r="BI173" s="427">
        <f>BH173*Indeksacja!BI$61</f>
        <v>1.3657401319252336E-2</v>
      </c>
    </row>
    <row r="174" spans="1:61">
      <c r="A174" s="831"/>
      <c r="B174" s="421" t="s">
        <v>245</v>
      </c>
      <c r="C174" s="396"/>
      <c r="D174" s="396"/>
      <c r="E174" s="396"/>
      <c r="F174" s="396"/>
      <c r="G174" s="396"/>
      <c r="H174" s="396"/>
      <c r="I174" s="396"/>
      <c r="J174" s="396"/>
      <c r="K174" s="396"/>
      <c r="L174" s="396"/>
      <c r="M174" s="396"/>
      <c r="N174" s="396"/>
      <c r="O174" s="396"/>
      <c r="P174" s="432"/>
      <c r="Q174" s="393">
        <f>Q172*$B$90+Q173*$B$91</f>
        <v>2.8988780017178534E-3</v>
      </c>
      <c r="R174" s="393">
        <f>R172*$B$90+R173*$B$91</f>
        <v>3.0703970427611495E-3</v>
      </c>
      <c r="S174" s="393">
        <f t="shared" ref="S174:BI174" si="75">S172*$B$90+S173*$B$91</f>
        <v>3.2543657462458858E-3</v>
      </c>
      <c r="T174" s="393">
        <f t="shared" si="75"/>
        <v>3.4544876340212487E-3</v>
      </c>
      <c r="U174" s="393">
        <f t="shared" si="75"/>
        <v>3.5088808589987595E-3</v>
      </c>
      <c r="V174" s="393">
        <f t="shared" si="75"/>
        <v>3.8627433451494577E-3</v>
      </c>
      <c r="W174" s="393">
        <f t="shared" si="75"/>
        <v>3.9863252388253429E-3</v>
      </c>
      <c r="X174" s="393">
        <f t="shared" si="75"/>
        <v>4.0952174073987302E-3</v>
      </c>
      <c r="Y174" s="393">
        <f t="shared" si="75"/>
        <v>4.2011076499253184E-3</v>
      </c>
      <c r="Z174" s="393">
        <f t="shared" si="75"/>
        <v>4.3137277574427889E-3</v>
      </c>
      <c r="AA174" s="393">
        <f t="shared" si="75"/>
        <v>4.4265520338565203E-3</v>
      </c>
      <c r="AB174" s="393">
        <f t="shared" si="75"/>
        <v>4.5429927542289146E-3</v>
      </c>
      <c r="AC174" s="393">
        <f t="shared" si="75"/>
        <v>4.6595297607062401E-3</v>
      </c>
      <c r="AD174" s="393">
        <f t="shared" si="75"/>
        <v>4.7759960271975153E-3</v>
      </c>
      <c r="AE174" s="393">
        <f t="shared" si="75"/>
        <v>4.8922139502560868E-3</v>
      </c>
      <c r="AF174" s="393">
        <f t="shared" si="75"/>
        <v>5.0120349363815698E-3</v>
      </c>
      <c r="AG174" s="393">
        <f t="shared" si="75"/>
        <v>5.1315122342566761E-3</v>
      </c>
      <c r="AH174" s="393">
        <f t="shared" si="75"/>
        <v>5.254545292623777E-3</v>
      </c>
      <c r="AI174" s="393">
        <f t="shared" si="75"/>
        <v>5.3769666904764247E-3</v>
      </c>
      <c r="AJ174" s="393">
        <f t="shared" si="75"/>
        <v>5.4985100657975157E-3</v>
      </c>
      <c r="AK174" s="393">
        <f t="shared" si="75"/>
        <v>5.618981235505925E-3</v>
      </c>
      <c r="AL174" s="393">
        <f t="shared" si="75"/>
        <v>5.7381144764167219E-3</v>
      </c>
      <c r="AM174" s="393">
        <f t="shared" si="75"/>
        <v>5.8556398637328016E-3</v>
      </c>
      <c r="AN174" s="393">
        <f t="shared" si="75"/>
        <v>5.9712763236245241E-3</v>
      </c>
      <c r="AO174" s="393">
        <f t="shared" si="75"/>
        <v>6.0895776663700101E-3</v>
      </c>
      <c r="AP174" s="393">
        <f t="shared" si="75"/>
        <v>6.2007346549732088E-3</v>
      </c>
      <c r="AQ174" s="393">
        <f t="shared" si="75"/>
        <v>6.3142245553794232E-3</v>
      </c>
      <c r="AR174" s="393">
        <f t="shared" si="75"/>
        <v>6.4300526780496853E-3</v>
      </c>
      <c r="AS174" s="393">
        <f t="shared" si="75"/>
        <v>6.5431050244696125E-3</v>
      </c>
      <c r="AT174" s="393">
        <f t="shared" si="75"/>
        <v>6.6531346758650581E-3</v>
      </c>
      <c r="AU174" s="393">
        <f t="shared" si="75"/>
        <v>6.7598976966947166E-3</v>
      </c>
      <c r="AV174" s="393">
        <f t="shared" si="75"/>
        <v>6.8686121199207041E-3</v>
      </c>
      <c r="AW174" s="393">
        <f t="shared" si="75"/>
        <v>6.9792599052459301E-3</v>
      </c>
      <c r="AX174" s="393">
        <f t="shared" si="75"/>
        <v>7.091860879045086E-3</v>
      </c>
      <c r="AY174" s="393">
        <f t="shared" si="75"/>
        <v>7.2006995997658191E-3</v>
      </c>
      <c r="AZ174" s="393">
        <f t="shared" si="75"/>
        <v>7.3102478692956465E-3</v>
      </c>
      <c r="BA174" s="393">
        <f t="shared" si="75"/>
        <v>7.4214627579075087E-3</v>
      </c>
      <c r="BB174" s="393">
        <f t="shared" si="75"/>
        <v>7.5343696208094507E-3</v>
      </c>
      <c r="BC174" s="393">
        <f t="shared" si="75"/>
        <v>7.6489941989524718E-3</v>
      </c>
      <c r="BD174" s="393">
        <f t="shared" si="75"/>
        <v>7.765362624899054E-3</v>
      </c>
      <c r="BE174" s="393">
        <f t="shared" si="75"/>
        <v>7.889744455313312E-3</v>
      </c>
      <c r="BF174" s="393">
        <f t="shared" si="75"/>
        <v>8.0161185738517084E-3</v>
      </c>
      <c r="BG174" s="393">
        <f t="shared" si="75"/>
        <v>8.1445168920237943E-3</v>
      </c>
      <c r="BH174" s="393">
        <f t="shared" si="75"/>
        <v>8.2815196831759544E-3</v>
      </c>
      <c r="BI174" s="393">
        <f t="shared" si="75"/>
        <v>8.4208270634194438E-3</v>
      </c>
    </row>
    <row r="175" spans="1:61">
      <c r="A175" s="831" t="s">
        <v>192</v>
      </c>
      <c r="B175" s="422" t="s">
        <v>226</v>
      </c>
      <c r="C175" s="428"/>
      <c r="D175" s="428"/>
      <c r="E175" s="428"/>
      <c r="F175" s="428"/>
      <c r="G175" s="428"/>
      <c r="H175" s="428"/>
      <c r="I175" s="428"/>
      <c r="J175" s="428"/>
      <c r="K175" s="428"/>
      <c r="L175" s="428"/>
      <c r="M175" s="428"/>
      <c r="N175" s="428"/>
      <c r="O175" s="428"/>
      <c r="P175" s="429"/>
      <c r="Q175" s="436">
        <f>AVERAGE(W35:W36)*$B$98*$Q$101*$Q$105/100</f>
        <v>7.4664560197975694E-4</v>
      </c>
      <c r="R175" s="433">
        <f>Q175*Indeksacja!R$61</f>
        <v>7.9082267241006583E-4</v>
      </c>
      <c r="S175" s="426">
        <f>R175*Indeksacja!S$61</f>
        <v>8.3820632335274018E-4</v>
      </c>
      <c r="T175" s="426">
        <f>S175*Indeksacja!T$61</f>
        <v>8.8975044741688351E-4</v>
      </c>
      <c r="U175" s="426">
        <f>T175*Indeksacja!U$61</f>
        <v>9.0376016503276359E-4</v>
      </c>
      <c r="V175" s="426">
        <f>U175*Indeksacja!V$61</f>
        <v>9.9490227892423222E-4</v>
      </c>
      <c r="W175" s="426">
        <f>V175*Indeksacja!W$61</f>
        <v>1.0267324826591772E-3</v>
      </c>
      <c r="X175" s="426">
        <f>W175*Indeksacja!X$61</f>
        <v>1.0547791471642643E-3</v>
      </c>
      <c r="Y175" s="426">
        <f>X175*Indeksacja!Y$61</f>
        <v>1.0820526246366501E-3</v>
      </c>
      <c r="Z175" s="426">
        <f>Y175*Indeksacja!Z$61</f>
        <v>1.1110594707069497E-3</v>
      </c>
      <c r="AA175" s="426">
        <f>Z175*Indeksacja!AA$61</f>
        <v>1.1401189032635944E-3</v>
      </c>
      <c r="AB175" s="426">
        <f>AA175*Indeksacja!AB$61</f>
        <v>1.1701098003299361E-3</v>
      </c>
      <c r="AC175" s="426">
        <f>AB175*Indeksacja!AC$61</f>
        <v>1.2001254971970065E-3</v>
      </c>
      <c r="AD175" s="426">
        <f>AC175*Indeksacja!AD$61</f>
        <v>1.2301229740149966E-3</v>
      </c>
      <c r="AE175" s="426">
        <f>AD175*Indeksacja!AE$61</f>
        <v>1.2600564865917533E-3</v>
      </c>
      <c r="AF175" s="426">
        <f>AE175*Indeksacja!AF$61</f>
        <v>1.2909180172468735E-3</v>
      </c>
      <c r="AG175" s="426">
        <f>AF175*Indeksacja!AG$61</f>
        <v>1.3216910263014144E-3</v>
      </c>
      <c r="AH175" s="426">
        <f>AG175*Indeksacja!AH$61</f>
        <v>1.353379870010421E-3</v>
      </c>
      <c r="AI175" s="426">
        <f>AH175*Indeksacja!AI$61</f>
        <v>1.3849111722041415E-3</v>
      </c>
      <c r="AJ175" s="426">
        <f>AI175*Indeksacja!AJ$61</f>
        <v>1.4162163277089575E-3</v>
      </c>
      <c r="AK175" s="426">
        <f>AJ175*Indeksacja!AK$61</f>
        <v>1.4472453220215284E-3</v>
      </c>
      <c r="AL175" s="426">
        <f>AK175*Indeksacja!AL$61</f>
        <v>1.4779297145081837E-3</v>
      </c>
      <c r="AM175" s="426">
        <f>AL175*Indeksacja!AM$61</f>
        <v>1.5081999823526803E-3</v>
      </c>
      <c r="AN175" s="426">
        <f>AM175*Indeksacja!AN$61</f>
        <v>1.5379837311532505E-3</v>
      </c>
      <c r="AO175" s="426">
        <f>AN175*Indeksacja!AO$61</f>
        <v>1.5684538569111725E-3</v>
      </c>
      <c r="AP175" s="426">
        <f>AO175*Indeksacja!AP$61</f>
        <v>1.597083856732038E-3</v>
      </c>
      <c r="AQ175" s="426">
        <f>AP175*Indeksacja!AQ$61</f>
        <v>1.6263147298343922E-3</v>
      </c>
      <c r="AR175" s="426">
        <f>AQ175*Indeksacja!AR$61</f>
        <v>1.6561478439999675E-3</v>
      </c>
      <c r="AS175" s="426">
        <f>AR175*Indeksacja!AS$61</f>
        <v>1.6852660191000956E-3</v>
      </c>
      <c r="AT175" s="426">
        <f>AS175*Indeksacja!AT$61</f>
        <v>1.713605657833803E-3</v>
      </c>
      <c r="AU175" s="426">
        <f>AT175*Indeksacja!AU$61</f>
        <v>1.7411039312724575E-3</v>
      </c>
      <c r="AV175" s="426">
        <f>AU175*Indeksacja!AV$61</f>
        <v>1.7691048150369167E-3</v>
      </c>
      <c r="AW175" s="426">
        <f>AV175*Indeksacja!AW$61</f>
        <v>1.7976036626023968E-3</v>
      </c>
      <c r="AX175" s="426">
        <f>AW175*Indeksacja!AX$61</f>
        <v>1.8266055805223494E-3</v>
      </c>
      <c r="AY175" s="426">
        <f>AX175*Indeksacja!AY$61</f>
        <v>1.8546384788033676E-3</v>
      </c>
      <c r="AZ175" s="426">
        <f>AY175*Indeksacja!AZ$61</f>
        <v>1.8828541310662321E-3</v>
      </c>
      <c r="BA175" s="426">
        <f>AZ175*Indeksacja!BA$61</f>
        <v>1.911499043824723E-3</v>
      </c>
      <c r="BB175" s="426">
        <f>BA175*Indeksacja!BB$61</f>
        <v>1.940579747658796E-3</v>
      </c>
      <c r="BC175" s="426">
        <f>BB175*Indeksacja!BC$61</f>
        <v>1.9701028725017714E-3</v>
      </c>
      <c r="BD175" s="426">
        <f>BC175*Indeksacja!BD$61</f>
        <v>2.0000751491518528E-3</v>
      </c>
      <c r="BE175" s="426">
        <f>BD175*Indeksacja!BE$61</f>
        <v>2.0321113875137174E-3</v>
      </c>
      <c r="BF175" s="426">
        <f>BE175*Indeksacja!BF$61</f>
        <v>2.0646607668787153E-3</v>
      </c>
      <c r="BG175" s="426">
        <f>BF175*Indeksacja!BG$61</f>
        <v>2.0977315064917568E-3</v>
      </c>
      <c r="BH175" s="426">
        <f>BG175*Indeksacja!BH$61</f>
        <v>2.133018445580637E-3</v>
      </c>
      <c r="BI175" s="426">
        <f>BH175*Indeksacja!BI$61</f>
        <v>2.1688989630499768E-3</v>
      </c>
    </row>
    <row r="176" spans="1:61">
      <c r="A176" s="831"/>
      <c r="B176" s="423" t="s">
        <v>227</v>
      </c>
      <c r="C176" s="430"/>
      <c r="D176" s="430"/>
      <c r="E176" s="430"/>
      <c r="F176" s="430"/>
      <c r="G176" s="430"/>
      <c r="H176" s="430"/>
      <c r="I176" s="430"/>
      <c r="J176" s="430"/>
      <c r="K176" s="430"/>
      <c r="L176" s="430"/>
      <c r="M176" s="430"/>
      <c r="N176" s="430"/>
      <c r="O176" s="430"/>
      <c r="P176" s="431"/>
      <c r="Q176" s="437">
        <f>AVERAGE(W37:W38)*$B$98*$Q$101*$Q$105/100</f>
        <v>1.3602256511314388E-3</v>
      </c>
      <c r="R176" s="434">
        <f>Q176*Indeksacja!R$61</f>
        <v>1.4407066507272491E-3</v>
      </c>
      <c r="S176" s="427">
        <f>R176*Indeksacja!S$61</f>
        <v>1.5270293415535073E-3</v>
      </c>
      <c r="T176" s="427">
        <f>S176*Indeksacja!T$61</f>
        <v>1.6209315081654122E-3</v>
      </c>
      <c r="U176" s="427">
        <f>T176*Indeksacja!U$61</f>
        <v>1.6464541620398868E-3</v>
      </c>
      <c r="V176" s="427">
        <f>U176*Indeksacja!V$61</f>
        <v>1.8124952408124634E-3</v>
      </c>
      <c r="W176" s="427">
        <f>V176*Indeksacja!W$61</f>
        <v>1.8704829387058285E-3</v>
      </c>
      <c r="X176" s="427">
        <f>W176*Indeksacja!X$61</f>
        <v>1.9215778522596507E-3</v>
      </c>
      <c r="Y176" s="427">
        <f>X176*Indeksacja!Y$61</f>
        <v>1.9712641874568681E-3</v>
      </c>
      <c r="Z176" s="427">
        <f>Y176*Indeksacja!Z$61</f>
        <v>2.0241083426740473E-3</v>
      </c>
      <c r="AA176" s="427">
        <f>Z176*Indeksacja!AA$61</f>
        <v>2.0770482990148656E-3</v>
      </c>
      <c r="AB176" s="427">
        <f>AA176*Indeksacja!AB$61</f>
        <v>2.1316851807990922E-3</v>
      </c>
      <c r="AC176" s="427">
        <f>AB176*Indeksacja!AC$61</f>
        <v>2.1863672424183096E-3</v>
      </c>
      <c r="AD176" s="427">
        <f>AC176*Indeksacja!AD$61</f>
        <v>2.2410161110768263E-3</v>
      </c>
      <c r="AE176" s="427">
        <f>AD176*Indeksacja!AE$61</f>
        <v>2.2955484508206205E-3</v>
      </c>
      <c r="AF176" s="427">
        <f>AE176*Indeksacja!AF$61</f>
        <v>2.3517714373606415E-3</v>
      </c>
      <c r="AG176" s="427">
        <f>AF176*Indeksacja!AG$61</f>
        <v>2.40783315682634E-3</v>
      </c>
      <c r="AH176" s="427">
        <f>AG176*Indeksacja!AH$61</f>
        <v>2.4655633275437378E-3</v>
      </c>
      <c r="AI176" s="427">
        <f>AH176*Indeksacja!AI$61</f>
        <v>2.5230064919362586E-3</v>
      </c>
      <c r="AJ176" s="427">
        <f>AI176*Indeksacja!AJ$61</f>
        <v>2.5800376663212697E-3</v>
      </c>
      <c r="AK176" s="427">
        <f>AJ176*Indeksacja!AK$61</f>
        <v>2.6365657351679335E-3</v>
      </c>
      <c r="AL176" s="427">
        <f>AK176*Indeksacja!AL$61</f>
        <v>2.6924660145495631E-3</v>
      </c>
      <c r="AM176" s="427">
        <f>AL176*Indeksacja!AM$61</f>
        <v>2.7476118490385466E-3</v>
      </c>
      <c r="AN176" s="427">
        <f>AM176*Indeksacja!AN$61</f>
        <v>2.8018713518039415E-3</v>
      </c>
      <c r="AO176" s="427">
        <f>AN176*Indeksacja!AO$61</f>
        <v>2.8573812838777793E-3</v>
      </c>
      <c r="AP176" s="427">
        <f>AO176*Indeksacja!AP$61</f>
        <v>2.9095389073138115E-3</v>
      </c>
      <c r="AQ176" s="427">
        <f>AP176*Indeksacja!AQ$61</f>
        <v>2.9627911909854269E-3</v>
      </c>
      <c r="AR176" s="427">
        <f>AQ176*Indeksacja!AR$61</f>
        <v>3.0171406266930097E-3</v>
      </c>
      <c r="AS176" s="427">
        <f>AR176*Indeksacja!AS$61</f>
        <v>3.0701875991526492E-3</v>
      </c>
      <c r="AT176" s="427">
        <f>AS176*Indeksacja!AT$61</f>
        <v>3.1218162479348488E-3</v>
      </c>
      <c r="AU176" s="427">
        <f>AT176*Indeksacja!AU$61</f>
        <v>3.1719121124171501E-3</v>
      </c>
      <c r="AV176" s="427">
        <f>AU176*Indeksacja!AV$61</f>
        <v>3.2229236234335907E-3</v>
      </c>
      <c r="AW176" s="427">
        <f>AV176*Indeksacja!AW$61</f>
        <v>3.2748423160281286E-3</v>
      </c>
      <c r="AX176" s="427">
        <f>AW176*Indeksacja!AX$61</f>
        <v>3.3276774932288343E-3</v>
      </c>
      <c r="AY176" s="427">
        <f>AX176*Indeksacja!AY$61</f>
        <v>3.3787473277209863E-3</v>
      </c>
      <c r="AZ176" s="427">
        <f>AY176*Indeksacja!AZ$61</f>
        <v>3.4301501001602641E-3</v>
      </c>
      <c r="BA176" s="427">
        <f>AZ176*Indeksacja!BA$61</f>
        <v>3.4823348917202871E-3</v>
      </c>
      <c r="BB176" s="427">
        <f>BA176*Indeksacja!BB$61</f>
        <v>3.5353135996952318E-3</v>
      </c>
      <c r="BC176" s="427">
        <f>BB176*Indeksacja!BC$61</f>
        <v>3.5890983023794646E-3</v>
      </c>
      <c r="BD176" s="427">
        <f>BC176*Indeksacja!BD$61</f>
        <v>3.6437012618211967E-3</v>
      </c>
      <c r="BE176" s="427">
        <f>BD176*Indeksacja!BE$61</f>
        <v>3.7020643099259795E-3</v>
      </c>
      <c r="BF176" s="427">
        <f>BE176*Indeksacja!BF$61</f>
        <v>3.7613621891651838E-3</v>
      </c>
      <c r="BG176" s="427">
        <f>BF176*Indeksacja!BG$61</f>
        <v>3.8216098732127054E-3</v>
      </c>
      <c r="BH176" s="427">
        <f>BG176*Indeksacja!BH$61</f>
        <v>3.8858949899686851E-3</v>
      </c>
      <c r="BI176" s="427">
        <f>BH176*Indeksacja!BI$61</f>
        <v>3.9512614772395614E-3</v>
      </c>
    </row>
    <row r="177" spans="1:61">
      <c r="A177" s="831"/>
      <c r="B177" s="421" t="s">
        <v>245</v>
      </c>
      <c r="C177" s="396"/>
      <c r="D177" s="396"/>
      <c r="E177" s="396"/>
      <c r="F177" s="396"/>
      <c r="G177" s="396"/>
      <c r="H177" s="396"/>
      <c r="I177" s="396"/>
      <c r="J177" s="396"/>
      <c r="K177" s="396"/>
      <c r="L177" s="396"/>
      <c r="M177" s="396"/>
      <c r="N177" s="396"/>
      <c r="O177" s="396"/>
      <c r="P177" s="432"/>
      <c r="Q177" s="393">
        <f>Q175*$B$90+Q176*$B$91</f>
        <v>8.386826093525092E-4</v>
      </c>
      <c r="R177" s="393">
        <f>R175*$B$90+R176*$B$91</f>
        <v>8.8830526915764337E-4</v>
      </c>
      <c r="S177" s="393">
        <f t="shared" ref="S177:BI177" si="76">S175*$B$90+S176*$B$91</f>
        <v>9.4152977608285518E-4</v>
      </c>
      <c r="T177" s="393">
        <f t="shared" si="76"/>
        <v>9.9942760652916283E-4</v>
      </c>
      <c r="U177" s="393">
        <f t="shared" si="76"/>
        <v>1.0151642645838321E-3</v>
      </c>
      <c r="V177" s="393">
        <f t="shared" si="76"/>
        <v>1.1175412232074669E-3</v>
      </c>
      <c r="W177" s="393">
        <f t="shared" si="76"/>
        <v>1.1532950510661749E-3</v>
      </c>
      <c r="X177" s="393">
        <f t="shared" si="76"/>
        <v>1.1847989529285723E-3</v>
      </c>
      <c r="Y177" s="393">
        <f t="shared" si="76"/>
        <v>1.2154343590596829E-3</v>
      </c>
      <c r="Z177" s="393">
        <f t="shared" si="76"/>
        <v>1.2480168015020143E-3</v>
      </c>
      <c r="AA177" s="393">
        <f t="shared" si="76"/>
        <v>1.2806583126262852E-3</v>
      </c>
      <c r="AB177" s="393">
        <f t="shared" si="76"/>
        <v>1.3143461074003097E-3</v>
      </c>
      <c r="AC177" s="393">
        <f t="shared" si="76"/>
        <v>1.3480617589802018E-3</v>
      </c>
      <c r="AD177" s="393">
        <f t="shared" si="76"/>
        <v>1.3817569445742711E-3</v>
      </c>
      <c r="AE177" s="393">
        <f t="shared" si="76"/>
        <v>1.4153802812260834E-3</v>
      </c>
      <c r="AF177" s="393">
        <f t="shared" si="76"/>
        <v>1.4500460302639387E-3</v>
      </c>
      <c r="AG177" s="393">
        <f t="shared" si="76"/>
        <v>1.4846123458801532E-3</v>
      </c>
      <c r="AH177" s="393">
        <f t="shared" si="76"/>
        <v>1.5202073886404184E-3</v>
      </c>
      <c r="AI177" s="393">
        <f t="shared" si="76"/>
        <v>1.5556254701639591E-3</v>
      </c>
      <c r="AJ177" s="393">
        <f t="shared" si="76"/>
        <v>1.5907895285008043E-3</v>
      </c>
      <c r="AK177" s="393">
        <f t="shared" si="76"/>
        <v>1.6256433839934891E-3</v>
      </c>
      <c r="AL177" s="393">
        <f t="shared" si="76"/>
        <v>1.6601101595143906E-3</v>
      </c>
      <c r="AM177" s="393">
        <f t="shared" si="76"/>
        <v>1.6941117623555601E-3</v>
      </c>
      <c r="AN177" s="393">
        <f t="shared" si="76"/>
        <v>1.7275668742508543E-3</v>
      </c>
      <c r="AO177" s="393">
        <f t="shared" si="76"/>
        <v>1.7617929709561634E-3</v>
      </c>
      <c r="AP177" s="393">
        <f t="shared" si="76"/>
        <v>1.7939521143193039E-3</v>
      </c>
      <c r="AQ177" s="393">
        <f t="shared" si="76"/>
        <v>1.8267861990070473E-3</v>
      </c>
      <c r="AR177" s="393">
        <f t="shared" si="76"/>
        <v>1.8602967614039238E-3</v>
      </c>
      <c r="AS177" s="393">
        <f t="shared" si="76"/>
        <v>1.8930042561079788E-3</v>
      </c>
      <c r="AT177" s="393">
        <f t="shared" si="76"/>
        <v>1.9248372463489599E-3</v>
      </c>
      <c r="AU177" s="393">
        <f t="shared" si="76"/>
        <v>1.9557251584441616E-3</v>
      </c>
      <c r="AV177" s="393">
        <f t="shared" si="76"/>
        <v>1.987177636296418E-3</v>
      </c>
      <c r="AW177" s="393">
        <f t="shared" si="76"/>
        <v>2.0191894606162563E-3</v>
      </c>
      <c r="AX177" s="393">
        <f t="shared" si="76"/>
        <v>2.0517663674283221E-3</v>
      </c>
      <c r="AY177" s="393">
        <f t="shared" si="76"/>
        <v>2.0832548061410104E-3</v>
      </c>
      <c r="AZ177" s="393">
        <f t="shared" si="76"/>
        <v>2.114948526430337E-3</v>
      </c>
      <c r="BA177" s="393">
        <f t="shared" si="76"/>
        <v>2.1471244210090577E-3</v>
      </c>
      <c r="BB177" s="393">
        <f t="shared" si="76"/>
        <v>2.1797898254642613E-3</v>
      </c>
      <c r="BC177" s="393">
        <f t="shared" si="76"/>
        <v>2.2129521869834255E-3</v>
      </c>
      <c r="BD177" s="393">
        <f t="shared" si="76"/>
        <v>2.2466190660522544E-3</v>
      </c>
      <c r="BE177" s="393">
        <f t="shared" si="76"/>
        <v>2.2826043258755567E-3</v>
      </c>
      <c r="BF177" s="393">
        <f t="shared" si="76"/>
        <v>2.3191659802216857E-3</v>
      </c>
      <c r="BG177" s="393">
        <f t="shared" si="76"/>
        <v>2.3563132614998991E-3</v>
      </c>
      <c r="BH177" s="393">
        <f t="shared" si="76"/>
        <v>2.3959499272388444E-3</v>
      </c>
      <c r="BI177" s="393">
        <f t="shared" si="76"/>
        <v>2.4362533401784143E-3</v>
      </c>
    </row>
    <row r="178" spans="1:61">
      <c r="A178" s="831" t="s">
        <v>735</v>
      </c>
      <c r="B178" s="422" t="s">
        <v>226</v>
      </c>
      <c r="C178" s="428"/>
      <c r="D178" s="428"/>
      <c r="E178" s="428"/>
      <c r="F178" s="428"/>
      <c r="G178" s="428"/>
      <c r="H178" s="428"/>
      <c r="I178" s="428"/>
      <c r="J178" s="428"/>
      <c r="K178" s="428"/>
      <c r="L178" s="428"/>
      <c r="M178" s="428"/>
      <c r="N178" s="428"/>
      <c r="O178" s="428"/>
      <c r="P178" s="429"/>
      <c r="Q178" s="436">
        <f>AVERAGE(W39:W40)*$B$98*$Q$101*$Q$105/100</f>
        <v>2.3849037354934919E-3</v>
      </c>
      <c r="R178" s="433">
        <f>Q178*Indeksacja!R$61</f>
        <v>2.526012261430084E-3</v>
      </c>
      <c r="S178" s="426">
        <f>R178*Indeksacja!S$61</f>
        <v>2.6773631109293186E-3</v>
      </c>
      <c r="T178" s="426">
        <f>S178*Indeksacja!T$61</f>
        <v>2.8420031673327423E-3</v>
      </c>
      <c r="U178" s="426">
        <f>T178*Indeksacja!U$61</f>
        <v>2.8867524135437008E-3</v>
      </c>
      <c r="V178" s="426">
        <f>U178*Indeksacja!V$61</f>
        <v>3.1778746907046265E-3</v>
      </c>
      <c r="W178" s="426">
        <f>V178*Indeksacja!W$61</f>
        <v>3.2795453783611341E-3</v>
      </c>
      <c r="X178" s="426">
        <f>W178*Indeksacja!X$61</f>
        <v>3.3691308453738075E-3</v>
      </c>
      <c r="Y178" s="426">
        <f>X178*Indeksacja!Y$61</f>
        <v>3.4562466311379267E-3</v>
      </c>
      <c r="Z178" s="426">
        <f>Y178*Indeksacja!Z$61</f>
        <v>3.5488990694091931E-3</v>
      </c>
      <c r="AA178" s="426">
        <f>Z178*Indeksacja!AA$61</f>
        <v>3.6417194772062813E-3</v>
      </c>
      <c r="AB178" s="426">
        <f>AA178*Indeksacja!AB$61</f>
        <v>3.7375151294603993E-3</v>
      </c>
      <c r="AC178" s="426">
        <f>AB178*Indeksacja!AC$61</f>
        <v>3.8333899961868721E-3</v>
      </c>
      <c r="AD178" s="426">
        <f>AC178*Indeksacja!AD$61</f>
        <v>3.9292066652048246E-3</v>
      </c>
      <c r="AE178" s="426">
        <f>AD178*Indeksacja!AE$61</f>
        <v>4.0248190223545338E-3</v>
      </c>
      <c r="AF178" s="426">
        <f>AE178*Indeksacja!AF$61</f>
        <v>4.1233956155163837E-3</v>
      </c>
      <c r="AG178" s="426">
        <f>AF178*Indeksacja!AG$61</f>
        <v>4.2216894567336256E-3</v>
      </c>
      <c r="AH178" s="426">
        <f>AG178*Indeksacja!AH$61</f>
        <v>4.3229086181867825E-3</v>
      </c>
      <c r="AI178" s="426">
        <f>AH178*Indeksacja!AI$61</f>
        <v>4.4236245672091635E-3</v>
      </c>
      <c r="AJ178" s="426">
        <f>AI178*Indeksacja!AJ$61</f>
        <v>4.5236181680630054E-3</v>
      </c>
      <c r="AK178" s="426">
        <f>AJ178*Indeksacja!AK$61</f>
        <v>4.6227296665415874E-3</v>
      </c>
      <c r="AL178" s="426">
        <f>AK178*Indeksacja!AL$61</f>
        <v>4.720740452473675E-3</v>
      </c>
      <c r="AM178" s="426">
        <f>AL178*Indeksacja!AM$61</f>
        <v>4.8174284590263277E-3</v>
      </c>
      <c r="AN178" s="426">
        <f>AM178*Indeksacja!AN$61</f>
        <v>4.9125624470698348E-3</v>
      </c>
      <c r="AO178" s="426">
        <f>AN178*Indeksacja!AO$61</f>
        <v>5.0098888312986329E-3</v>
      </c>
      <c r="AP178" s="426">
        <f>AO178*Indeksacja!AP$61</f>
        <v>5.1013375632524725E-3</v>
      </c>
      <c r="AQ178" s="426">
        <f>AP178*Indeksacja!AQ$61</f>
        <v>5.1947055791742094E-3</v>
      </c>
      <c r="AR178" s="426">
        <f>AQ178*Indeksacja!AR$61</f>
        <v>5.2899972479742803E-3</v>
      </c>
      <c r="AS178" s="426">
        <f>AR178*Indeksacja!AS$61</f>
        <v>5.3830052887139778E-3</v>
      </c>
      <c r="AT178" s="426">
        <f>AS178*Indeksacja!AT$61</f>
        <v>5.4735265615900855E-3</v>
      </c>
      <c r="AU178" s="426">
        <f>AT178*Indeksacja!AU$61</f>
        <v>5.5613603811017504E-3</v>
      </c>
      <c r="AV178" s="426">
        <f>AU178*Indeksacja!AV$61</f>
        <v>5.6507996172131128E-3</v>
      </c>
      <c r="AW178" s="426">
        <f>AV178*Indeksacja!AW$61</f>
        <v>5.74182942819165E-3</v>
      </c>
      <c r="AX178" s="426">
        <f>AW178*Indeksacja!AX$61</f>
        <v>5.8344661251739562E-3</v>
      </c>
      <c r="AY178" s="426">
        <f>AX178*Indeksacja!AY$61</f>
        <v>5.9240076206971857E-3</v>
      </c>
      <c r="AZ178" s="426">
        <f>AY178*Indeksacja!AZ$61</f>
        <v>6.0141328612432557E-3</v>
      </c>
      <c r="BA178" s="426">
        <f>AZ178*Indeksacja!BA$61</f>
        <v>6.105629227470378E-3</v>
      </c>
      <c r="BB178" s="426">
        <f>BA178*Indeksacja!BB$61</f>
        <v>6.1985175790802505E-3</v>
      </c>
      <c r="BC178" s="426">
        <f>BB178*Indeksacja!BC$61</f>
        <v>6.2928190931248774E-3</v>
      </c>
      <c r="BD178" s="426">
        <f>BC178*Indeksacja!BD$61</f>
        <v>6.3885552688345967E-3</v>
      </c>
      <c r="BE178" s="426">
        <f>BD178*Indeksacja!BE$61</f>
        <v>6.4908840635636948E-3</v>
      </c>
      <c r="BF178" s="426">
        <f>BE178*Indeksacja!BF$61</f>
        <v>6.5948519115356739E-3</v>
      </c>
      <c r="BG178" s="426">
        <f>BF178*Indeksacja!BG$61</f>
        <v>6.7004850663142561E-3</v>
      </c>
      <c r="BH178" s="426">
        <f>BG178*Indeksacja!BH$61</f>
        <v>6.8131971115256108E-3</v>
      </c>
      <c r="BI178" s="426">
        <f>BH178*Indeksacja!BI$61</f>
        <v>6.9278051396411879E-3</v>
      </c>
    </row>
    <row r="179" spans="1:61">
      <c r="A179" s="831"/>
      <c r="B179" s="423" t="s">
        <v>227</v>
      </c>
      <c r="C179" s="430"/>
      <c r="D179" s="430"/>
      <c r="E179" s="430"/>
      <c r="F179" s="430"/>
      <c r="G179" s="430"/>
      <c r="H179" s="430"/>
      <c r="I179" s="430"/>
      <c r="J179" s="430"/>
      <c r="K179" s="430"/>
      <c r="L179" s="430"/>
      <c r="M179" s="430"/>
      <c r="N179" s="430"/>
      <c r="O179" s="430"/>
      <c r="P179" s="431"/>
      <c r="Q179" s="437">
        <f>AVERAGE(W41:W42)*$B$98*$Q$101*$Q$105/100</f>
        <v>4.2462920168542658E-3</v>
      </c>
      <c r="R179" s="434">
        <f>Q179*Indeksacja!R$61</f>
        <v>4.4975340264486853E-3</v>
      </c>
      <c r="S179" s="427">
        <f>R179*Indeksacja!S$61</f>
        <v>4.7670123682400055E-3</v>
      </c>
      <c r="T179" s="427">
        <f>S179*Indeksacja!T$61</f>
        <v>5.0601519808607361E-3</v>
      </c>
      <c r="U179" s="427">
        <f>T179*Indeksacja!U$61</f>
        <v>5.1398274680168332E-3</v>
      </c>
      <c r="V179" s="427">
        <f>U179*Indeksacja!V$61</f>
        <v>5.6581671322301881E-3</v>
      </c>
      <c r="W179" s="427">
        <f>V179*Indeksacja!W$61</f>
        <v>5.8391905517161651E-3</v>
      </c>
      <c r="X179" s="427">
        <f>W179*Indeksacja!X$61</f>
        <v>5.9986963832265351E-3</v>
      </c>
      <c r="Y179" s="427">
        <f>X179*Indeksacja!Y$61</f>
        <v>6.153804977391918E-3</v>
      </c>
      <c r="Z179" s="427">
        <f>Y179*Indeksacja!Z$61</f>
        <v>6.3187715138261248E-3</v>
      </c>
      <c r="AA179" s="427">
        <f>Z179*Indeksacja!AA$61</f>
        <v>6.4840371179526474E-3</v>
      </c>
      <c r="AB179" s="427">
        <f>AA179*Indeksacja!AB$61</f>
        <v>6.6546001085514422E-3</v>
      </c>
      <c r="AC179" s="427">
        <f>AB179*Indeksacja!AC$61</f>
        <v>6.825304139552236E-3</v>
      </c>
      <c r="AD179" s="427">
        <f>AC179*Indeksacja!AD$61</f>
        <v>6.9959045502427366E-3</v>
      </c>
      <c r="AE179" s="427">
        <f>AD179*Indeksacja!AE$61</f>
        <v>7.1661411861434383E-3</v>
      </c>
      <c r="AF179" s="427">
        <f>AE179*Indeksacja!AF$61</f>
        <v>7.3416556081145378E-3</v>
      </c>
      <c r="AG179" s="427">
        <f>AF179*Indeksacja!AG$61</f>
        <v>7.5166665936964557E-3</v>
      </c>
      <c r="AH179" s="427">
        <f>AG179*Indeksacja!AH$61</f>
        <v>7.6968860762837848E-3</v>
      </c>
      <c r="AI179" s="427">
        <f>AH179*Indeksacja!AI$61</f>
        <v>7.8762095952748541E-3</v>
      </c>
      <c r="AJ179" s="427">
        <f>AI179*Indeksacja!AJ$61</f>
        <v>8.054246982160963E-3</v>
      </c>
      <c r="AK179" s="427">
        <f>AJ179*Indeksacja!AK$61</f>
        <v>8.2307137965252682E-3</v>
      </c>
      <c r="AL179" s="427">
        <f>AK179*Indeksacja!AL$61</f>
        <v>8.4052208056238625E-3</v>
      </c>
      <c r="AM179" s="427">
        <f>AL179*Indeksacja!AM$61</f>
        <v>8.5773726221688301E-3</v>
      </c>
      <c r="AN179" s="427">
        <f>AM179*Indeksacja!AN$61</f>
        <v>8.7467575277097084E-3</v>
      </c>
      <c r="AO179" s="427">
        <f>AN179*Indeksacja!AO$61</f>
        <v>8.9200459679219593E-3</v>
      </c>
      <c r="AP179" s="427">
        <f>AO179*Indeksacja!AP$61</f>
        <v>9.0828693199373322E-3</v>
      </c>
      <c r="AQ179" s="427">
        <f>AP179*Indeksacja!AQ$61</f>
        <v>9.249109933651644E-3</v>
      </c>
      <c r="AR179" s="427">
        <f>AQ179*Indeksacja!AR$61</f>
        <v>9.4187755878566478E-3</v>
      </c>
      <c r="AS179" s="427">
        <f>AR179*Indeksacja!AS$61</f>
        <v>9.5843752701492788E-3</v>
      </c>
      <c r="AT179" s="427">
        <f>AS179*Indeksacja!AT$61</f>
        <v>9.7455472925872255E-3</v>
      </c>
      <c r="AU179" s="427">
        <f>AT179*Indeksacja!AU$61</f>
        <v>9.9019343370836052E-3</v>
      </c>
      <c r="AV179" s="427">
        <f>AU179*Indeksacja!AV$61</f>
        <v>1.0061179806257495E-2</v>
      </c>
      <c r="AW179" s="427">
        <f>AV179*Indeksacja!AW$61</f>
        <v>1.0223257274585134E-2</v>
      </c>
      <c r="AX179" s="427">
        <f>AW179*Indeksacja!AX$61</f>
        <v>1.0388195783846314E-2</v>
      </c>
      <c r="AY179" s="427">
        <f>AX179*Indeksacja!AY$61</f>
        <v>1.0547623324655966E-2</v>
      </c>
      <c r="AZ179" s="427">
        <f>AY179*Indeksacja!AZ$61</f>
        <v>1.0708090216359944E-2</v>
      </c>
      <c r="BA179" s="427">
        <f>AZ179*Indeksacja!BA$61</f>
        <v>1.0870998380617992E-2</v>
      </c>
      <c r="BB179" s="427">
        <f>BA179*Indeksacja!BB$61</f>
        <v>1.1036384957874594E-2</v>
      </c>
      <c r="BC179" s="427">
        <f>BB179*Indeksacja!BC$61</f>
        <v>1.1204287653612588E-2</v>
      </c>
      <c r="BD179" s="427">
        <f>BC179*Indeksacja!BD$61</f>
        <v>1.1374744746949406E-2</v>
      </c>
      <c r="BE179" s="427">
        <f>BD179*Indeksacja!BE$61</f>
        <v>1.1556939918052435E-2</v>
      </c>
      <c r="BF179" s="427">
        <f>BE179*Indeksacja!BF$61</f>
        <v>1.1742053403465959E-2</v>
      </c>
      <c r="BG179" s="427">
        <f>BF179*Indeksacja!BG$61</f>
        <v>1.1930131947340021E-2</v>
      </c>
      <c r="BH179" s="427">
        <f>BG179*Indeksacja!BH$61</f>
        <v>1.2130814369301702E-2</v>
      </c>
      <c r="BI179" s="427">
        <f>BH179*Indeksacja!BI$61</f>
        <v>1.2334872565702608E-2</v>
      </c>
    </row>
    <row r="180" spans="1:61">
      <c r="A180" s="831"/>
      <c r="B180" s="421" t="s">
        <v>245</v>
      </c>
      <c r="C180" s="396"/>
      <c r="D180" s="396"/>
      <c r="E180" s="396"/>
      <c r="F180" s="396"/>
      <c r="G180" s="396"/>
      <c r="H180" s="396"/>
      <c r="I180" s="396"/>
      <c r="J180" s="396"/>
      <c r="K180" s="396"/>
      <c r="L180" s="396"/>
      <c r="M180" s="396"/>
      <c r="N180" s="396"/>
      <c r="O180" s="396"/>
      <c r="P180" s="432"/>
      <c r="Q180" s="393">
        <f>Q178*$B$90+Q179*$B$91</f>
        <v>2.664111977697608E-3</v>
      </c>
      <c r="R180" s="393">
        <f>R178*$B$90+R179*$B$91</f>
        <v>2.8217405261828743E-3</v>
      </c>
      <c r="S180" s="393">
        <f t="shared" ref="S180:BI180" si="77">S178*$B$90+S179*$B$91</f>
        <v>2.9908104995259215E-3</v>
      </c>
      <c r="T180" s="393">
        <f t="shared" si="77"/>
        <v>3.1747254893619414E-3</v>
      </c>
      <c r="U180" s="393">
        <f t="shared" si="77"/>
        <v>3.224713671714671E-3</v>
      </c>
      <c r="V180" s="393">
        <f t="shared" si="77"/>
        <v>3.5499185569334612E-3</v>
      </c>
      <c r="W180" s="393">
        <f t="shared" si="77"/>
        <v>3.6634921543643889E-3</v>
      </c>
      <c r="X180" s="393">
        <f t="shared" si="77"/>
        <v>3.7635656760517167E-3</v>
      </c>
      <c r="Y180" s="393">
        <f t="shared" si="77"/>
        <v>3.8608803830760255E-3</v>
      </c>
      <c r="Z180" s="393">
        <f t="shared" si="77"/>
        <v>3.9643799360717328E-3</v>
      </c>
      <c r="AA180" s="393">
        <f t="shared" si="77"/>
        <v>4.0680671233182366E-3</v>
      </c>
      <c r="AB180" s="393">
        <f t="shared" si="77"/>
        <v>4.175077876324056E-3</v>
      </c>
      <c r="AC180" s="393">
        <f t="shared" si="77"/>
        <v>4.2821771176916774E-3</v>
      </c>
      <c r="AD180" s="393">
        <f t="shared" si="77"/>
        <v>4.3892113479605116E-3</v>
      </c>
      <c r="AE180" s="393">
        <f t="shared" si="77"/>
        <v>4.4960173469228695E-3</v>
      </c>
      <c r="AF180" s="393">
        <f t="shared" si="77"/>
        <v>4.6061346144061072E-3</v>
      </c>
      <c r="AG180" s="393">
        <f t="shared" si="77"/>
        <v>4.71593602727805E-3</v>
      </c>
      <c r="AH180" s="393">
        <f t="shared" si="77"/>
        <v>4.8290052369013327E-3</v>
      </c>
      <c r="AI180" s="393">
        <f t="shared" si="77"/>
        <v>4.9415123214190167E-3</v>
      </c>
      <c r="AJ180" s="393">
        <f t="shared" si="77"/>
        <v>5.0532124901776993E-3</v>
      </c>
      <c r="AK180" s="393">
        <f t="shared" si="77"/>
        <v>5.1639272860391399E-3</v>
      </c>
      <c r="AL180" s="393">
        <f t="shared" si="77"/>
        <v>5.273412505446203E-3</v>
      </c>
      <c r="AM180" s="393">
        <f t="shared" si="77"/>
        <v>5.3814200834977031E-3</v>
      </c>
      <c r="AN180" s="393">
        <f t="shared" si="77"/>
        <v>5.4876917091658158E-3</v>
      </c>
      <c r="AO180" s="393">
        <f t="shared" si="77"/>
        <v>5.5964124017921319E-3</v>
      </c>
      <c r="AP180" s="393">
        <f t="shared" si="77"/>
        <v>5.6985673267552018E-3</v>
      </c>
      <c r="AQ180" s="393">
        <f t="shared" si="77"/>
        <v>5.8028662323458251E-3</v>
      </c>
      <c r="AR180" s="393">
        <f t="shared" si="77"/>
        <v>5.9093139989566355E-3</v>
      </c>
      <c r="AS180" s="393">
        <f t="shared" si="77"/>
        <v>6.0132107859292728E-3</v>
      </c>
      <c r="AT180" s="393">
        <f t="shared" si="77"/>
        <v>6.1143296712396558E-3</v>
      </c>
      <c r="AU180" s="393">
        <f t="shared" si="77"/>
        <v>6.2124464744990286E-3</v>
      </c>
      <c r="AV180" s="393">
        <f t="shared" si="77"/>
        <v>6.3123566455697703E-3</v>
      </c>
      <c r="AW180" s="393">
        <f t="shared" si="77"/>
        <v>6.414043605150673E-3</v>
      </c>
      <c r="AX180" s="393">
        <f t="shared" si="77"/>
        <v>6.5175255739748101E-3</v>
      </c>
      <c r="AY180" s="393">
        <f t="shared" si="77"/>
        <v>6.6175499762910032E-3</v>
      </c>
      <c r="AZ180" s="393">
        <f t="shared" si="77"/>
        <v>6.7182264645107587E-3</v>
      </c>
      <c r="BA180" s="393">
        <f t="shared" si="77"/>
        <v>6.8204346004425197E-3</v>
      </c>
      <c r="BB180" s="393">
        <f t="shared" si="77"/>
        <v>6.9241976858994024E-3</v>
      </c>
      <c r="BC180" s="393">
        <f t="shared" si="77"/>
        <v>7.0295393771980345E-3</v>
      </c>
      <c r="BD180" s="393">
        <f t="shared" si="77"/>
        <v>7.1364836905518179E-3</v>
      </c>
      <c r="BE180" s="393">
        <f t="shared" si="77"/>
        <v>7.2507924417370062E-3</v>
      </c>
      <c r="BF180" s="393">
        <f t="shared" si="77"/>
        <v>7.366932135325216E-3</v>
      </c>
      <c r="BG180" s="393">
        <f t="shared" si="77"/>
        <v>7.4849320984681214E-3</v>
      </c>
      <c r="BH180" s="393">
        <f t="shared" si="77"/>
        <v>7.6108397001920245E-3</v>
      </c>
      <c r="BI180" s="393">
        <f t="shared" si="77"/>
        <v>7.7388652535504013E-3</v>
      </c>
    </row>
    <row r="181" spans="1:61">
      <c r="A181" s="407" t="s">
        <v>244</v>
      </c>
      <c r="B181" s="407"/>
      <c r="C181" s="407"/>
      <c r="D181" s="407"/>
      <c r="E181" s="407"/>
      <c r="F181" s="407"/>
      <c r="G181" s="407"/>
      <c r="H181" s="407"/>
      <c r="I181" s="407"/>
      <c r="J181" s="407"/>
      <c r="K181" s="407"/>
      <c r="L181" s="407"/>
      <c r="M181" s="407"/>
      <c r="N181" s="407"/>
      <c r="O181" s="407"/>
      <c r="P181" s="418"/>
      <c r="Q181" s="418"/>
      <c r="R181" s="418"/>
      <c r="S181" s="418"/>
      <c r="T181" s="418"/>
      <c r="U181" s="418"/>
      <c r="V181" s="418"/>
      <c r="W181" s="418"/>
      <c r="X181" s="418"/>
      <c r="Y181" s="418"/>
      <c r="Z181" s="418"/>
      <c r="AA181" s="418"/>
      <c r="AB181" s="418"/>
      <c r="AC181" s="418"/>
      <c r="AD181" s="418"/>
      <c r="AE181" s="418"/>
      <c r="AF181" s="418"/>
      <c r="AG181" s="418"/>
      <c r="AH181" s="418"/>
      <c r="AI181" s="418"/>
      <c r="AJ181" s="418"/>
      <c r="AK181" s="418"/>
      <c r="AL181" s="418"/>
      <c r="AM181" s="418"/>
      <c r="AN181" s="418"/>
      <c r="AO181" s="418"/>
      <c r="AP181" s="418"/>
      <c r="AQ181" s="418"/>
      <c r="AR181" s="418"/>
      <c r="AS181" s="418"/>
      <c r="AT181" s="418"/>
      <c r="AU181" s="418"/>
      <c r="AV181" s="418"/>
      <c r="AW181" s="418"/>
      <c r="AX181" s="418"/>
      <c r="AY181" s="418"/>
      <c r="AZ181" s="418"/>
      <c r="BA181" s="418"/>
      <c r="BB181" s="418"/>
      <c r="BC181" s="418"/>
      <c r="BD181" s="418"/>
      <c r="BE181" s="418"/>
      <c r="BF181" s="418"/>
      <c r="BG181" s="418"/>
      <c r="BH181" s="418"/>
      <c r="BI181" s="418"/>
    </row>
    <row r="182" spans="1:61">
      <c r="A182" s="831" t="s">
        <v>229</v>
      </c>
      <c r="B182" s="422" t="s">
        <v>226</v>
      </c>
      <c r="C182" s="428"/>
      <c r="D182" s="428"/>
      <c r="E182" s="428"/>
      <c r="F182" s="428"/>
      <c r="G182" s="428"/>
      <c r="H182" s="428"/>
      <c r="I182" s="428"/>
      <c r="J182" s="428"/>
      <c r="K182" s="428"/>
      <c r="L182" s="428"/>
      <c r="M182" s="428"/>
      <c r="N182" s="428"/>
      <c r="O182" s="428"/>
      <c r="P182" s="429"/>
      <c r="Q182" s="436">
        <f>AVERAGE(W49:W50)*$B$98*$Q$101*$Q$105/100</f>
        <v>6.0700183953228209E-2</v>
      </c>
      <c r="R182" s="433">
        <f>Q182*Indeksacja!R$61</f>
        <v>6.4291655321336752E-2</v>
      </c>
      <c r="S182" s="426">
        <f>R182*Indeksacja!S$61</f>
        <v>6.8143812651359922E-2</v>
      </c>
      <c r="T182" s="426">
        <f>S182*Indeksacja!T$61</f>
        <v>7.2334204725063384E-2</v>
      </c>
      <c r="U182" s="426">
        <f>T182*Indeksacja!U$61</f>
        <v>7.3473155298349899E-2</v>
      </c>
      <c r="V182" s="426">
        <f>U182*Indeksacja!V$61</f>
        <v>8.0882752387556642E-2</v>
      </c>
      <c r="W182" s="426">
        <f>V182*Indeksacja!W$61</f>
        <v>8.3470458277548967E-2</v>
      </c>
      <c r="X182" s="426">
        <f>W182*Indeksacja!X$61</f>
        <v>8.5750573087331805E-2</v>
      </c>
      <c r="Y182" s="426">
        <f>X182*Indeksacja!Y$61</f>
        <v>8.7967829969617606E-2</v>
      </c>
      <c r="Z182" s="426">
        <f>Y182*Indeksacja!Z$61</f>
        <v>9.0326004835580176E-2</v>
      </c>
      <c r="AA182" s="426">
        <f>Z182*Indeksacja!AA$61</f>
        <v>9.2688454834733314E-2</v>
      </c>
      <c r="AB182" s="426">
        <f>AA182*Indeksacja!AB$61</f>
        <v>9.5126630274355917E-2</v>
      </c>
      <c r="AC182" s="426">
        <f>AB182*Indeksacja!AC$61</f>
        <v>9.7566821867910505E-2</v>
      </c>
      <c r="AD182" s="426">
        <f>AC182*Indeksacja!AD$61</f>
        <v>0.10000553222280531</v>
      </c>
      <c r="AE182" s="426">
        <f>AD182*Indeksacja!AE$61</f>
        <v>0.10243904246509111</v>
      </c>
      <c r="AF182" s="426">
        <f>AE182*Indeksacja!AF$61</f>
        <v>0.10494799796268846</v>
      </c>
      <c r="AG182" s="426">
        <f>AF182*Indeksacja!AG$61</f>
        <v>0.10744975690354625</v>
      </c>
      <c r="AH182" s="426">
        <f>AG182*Indeksacja!AH$61</f>
        <v>0.11002597062167639</v>
      </c>
      <c r="AI182" s="426">
        <f>AH182*Indeksacja!AI$61</f>
        <v>0.11258937665844772</v>
      </c>
      <c r="AJ182" s="426">
        <f>AI182*Indeksacja!AJ$61</f>
        <v>0.11513439760652297</v>
      </c>
      <c r="AK182" s="426">
        <f>AJ182*Indeksacja!AK$61</f>
        <v>0.11765696742768397</v>
      </c>
      <c r="AL182" s="426">
        <f>AK182*Indeksacja!AL$61</f>
        <v>0.12015152209122772</v>
      </c>
      <c r="AM182" s="426">
        <f>AL182*Indeksacja!AM$61</f>
        <v>0.12261240958805682</v>
      </c>
      <c r="AN182" s="426">
        <f>AM182*Indeksacja!AN$61</f>
        <v>0.12503374445726076</v>
      </c>
      <c r="AO182" s="426">
        <f>AN182*Indeksacja!AO$61</f>
        <v>0.12751087983940154</v>
      </c>
      <c r="AP182" s="426">
        <f>AO182*Indeksacja!AP$61</f>
        <v>0.1298384181669554</v>
      </c>
      <c r="AQ182" s="426">
        <f>AP182*Indeksacja!AQ$61</f>
        <v>0.13221480579948375</v>
      </c>
      <c r="AR182" s="426">
        <f>AQ182*Indeksacja!AR$61</f>
        <v>0.134640153933788</v>
      </c>
      <c r="AS182" s="426">
        <f>AR182*Indeksacja!AS$61</f>
        <v>0.13700737953623388</v>
      </c>
      <c r="AT182" s="426">
        <f>AS182*Indeksacja!AT$61</f>
        <v>0.13931131232542174</v>
      </c>
      <c r="AU182" s="426">
        <f>AT182*Indeksacja!AU$61</f>
        <v>0.14154684448645863</v>
      </c>
      <c r="AV182" s="426">
        <f>AU182*Indeksacja!AV$61</f>
        <v>0.14382323745100423</v>
      </c>
      <c r="AW182" s="426">
        <f>AV182*Indeksacja!AW$61</f>
        <v>0.14614011346968403</v>
      </c>
      <c r="AX182" s="426">
        <f>AW182*Indeksacja!AX$61</f>
        <v>0.14849788769090722</v>
      </c>
      <c r="AY182" s="426">
        <f>AX182*Indeksacja!AY$61</f>
        <v>0.15077688334545616</v>
      </c>
      <c r="AZ182" s="426">
        <f>AY182*Indeksacja!AZ$61</f>
        <v>0.15307073638386545</v>
      </c>
      <c r="BA182" s="426">
        <f>AZ182*Indeksacja!BA$61</f>
        <v>0.1553994870912348</v>
      </c>
      <c r="BB182" s="426">
        <f>BA182*Indeksacja!BB$61</f>
        <v>0.15776366638531633</v>
      </c>
      <c r="BC182" s="426">
        <f>BB182*Indeksacja!BC$61</f>
        <v>0.16016381326101081</v>
      </c>
      <c r="BD182" s="426">
        <f>BC182*Indeksacja!BD$61</f>
        <v>0.1626004749132498</v>
      </c>
      <c r="BE182" s="426">
        <f>BD182*Indeksacja!BE$61</f>
        <v>0.16520493083795953</v>
      </c>
      <c r="BF182" s="426">
        <f>BE182*Indeksacja!BF$61</f>
        <v>0.16785110368057723</v>
      </c>
      <c r="BG182" s="426">
        <f>BF182*Indeksacja!BG$61</f>
        <v>0.17053966164255846</v>
      </c>
      <c r="BH182" s="426">
        <f>BG182*Indeksacja!BH$61</f>
        <v>0.17340839037833619</v>
      </c>
      <c r="BI182" s="426">
        <f>BH182*Indeksacja!BI$61</f>
        <v>0.17632537536418627</v>
      </c>
    </row>
    <row r="183" spans="1:61">
      <c r="A183" s="831"/>
      <c r="B183" s="423" t="s">
        <v>227</v>
      </c>
      <c r="C183" s="430"/>
      <c r="D183" s="430"/>
      <c r="E183" s="430"/>
      <c r="F183" s="430"/>
      <c r="G183" s="430"/>
      <c r="H183" s="430"/>
      <c r="I183" s="430"/>
      <c r="J183" s="430"/>
      <c r="K183" s="430"/>
      <c r="L183" s="430"/>
      <c r="M183" s="430"/>
      <c r="N183" s="430"/>
      <c r="O183" s="430"/>
      <c r="P183" s="431"/>
      <c r="Q183" s="437">
        <f>AVERAGE(W51:W52)*$B$98*$Q$101*$Q$105/100</f>
        <v>0.1106267421831562</v>
      </c>
      <c r="R183" s="434">
        <f>Q183*Indeksacja!R$61</f>
        <v>0.11717223762027178</v>
      </c>
      <c r="S183" s="427">
        <f>R183*Indeksacja!S$61</f>
        <v>0.12419283604425341</v>
      </c>
      <c r="T183" s="427">
        <f>S183*Indeksacja!T$61</f>
        <v>0.13182987094914153</v>
      </c>
      <c r="U183" s="427">
        <f>T183*Indeksacja!U$61</f>
        <v>0.13390562069526113</v>
      </c>
      <c r="V183" s="427">
        <f>U183*Indeksacja!V$61</f>
        <v>0.14740969158078512</v>
      </c>
      <c r="W183" s="427">
        <f>V183*Indeksacja!W$61</f>
        <v>0.15212581357077115</v>
      </c>
      <c r="X183" s="427">
        <f>W183*Indeksacja!X$61</f>
        <v>0.1562813474881676</v>
      </c>
      <c r="Y183" s="427">
        <f>X183*Indeksacja!Y$61</f>
        <v>0.16032232215242007</v>
      </c>
      <c r="Z183" s="427">
        <f>Y183*Indeksacja!Z$61</f>
        <v>0.16462012136700988</v>
      </c>
      <c r="AA183" s="427">
        <f>Z183*Indeksacja!AA$61</f>
        <v>0.16892571205810714</v>
      </c>
      <c r="AB183" s="427">
        <f>AA183*Indeksacja!AB$61</f>
        <v>0.17336931318399942</v>
      </c>
      <c r="AC183" s="427">
        <f>AB183*Indeksacja!AC$61</f>
        <v>0.17781658877225259</v>
      </c>
      <c r="AD183" s="427">
        <f>AC183*Indeksacja!AD$61</f>
        <v>0.18226116478701759</v>
      </c>
      <c r="AE183" s="427">
        <f>AD183*Indeksacja!AE$61</f>
        <v>0.18669626354027441</v>
      </c>
      <c r="AF183" s="427">
        <f>AE183*Indeksacja!AF$61</f>
        <v>0.19126886208784361</v>
      </c>
      <c r="AG183" s="427">
        <f>AF183*Indeksacja!AG$61</f>
        <v>0.19582834483287012</v>
      </c>
      <c r="AH183" s="427">
        <f>AG183*Indeksacja!AH$61</f>
        <v>0.20052352221526315</v>
      </c>
      <c r="AI183" s="427">
        <f>AH183*Indeksacja!AI$61</f>
        <v>0.20519535745976847</v>
      </c>
      <c r="AJ183" s="427">
        <f>AI183*Indeksacja!AJ$61</f>
        <v>0.20983368568115238</v>
      </c>
      <c r="AK183" s="427">
        <f>AJ183*Indeksacja!AK$61</f>
        <v>0.2144310964807575</v>
      </c>
      <c r="AL183" s="427">
        <f>AK183*Indeksacja!AL$61</f>
        <v>0.21897744935241081</v>
      </c>
      <c r="AM183" s="427">
        <f>AL183*Indeksacja!AM$61</f>
        <v>0.22346244344836344</v>
      </c>
      <c r="AN183" s="427">
        <f>AM183*Indeksacja!AN$61</f>
        <v>0.22787535245241045</v>
      </c>
      <c r="AO183" s="427">
        <f>AN183*Indeksacja!AO$61</f>
        <v>0.23238995849518651</v>
      </c>
      <c r="AP183" s="427">
        <f>AO183*Indeksacja!AP$61</f>
        <v>0.2366319222869622</v>
      </c>
      <c r="AQ183" s="427">
        <f>AP183*Indeksacja!AQ$61</f>
        <v>0.24096291446572596</v>
      </c>
      <c r="AR183" s="427">
        <f>AQ183*Indeksacja!AR$61</f>
        <v>0.24538313768885192</v>
      </c>
      <c r="AS183" s="427">
        <f>AR183*Indeksacja!AS$61</f>
        <v>0.24969743196863423</v>
      </c>
      <c r="AT183" s="427">
        <f>AS183*Indeksacja!AT$61</f>
        <v>0.25389637441126667</v>
      </c>
      <c r="AU183" s="427">
        <f>AT183*Indeksacja!AU$61</f>
        <v>0.2579706559688274</v>
      </c>
      <c r="AV183" s="427">
        <f>AU183*Indeksacja!AV$61</f>
        <v>0.26211940678299928</v>
      </c>
      <c r="AW183" s="427">
        <f>AV183*Indeksacja!AW$61</f>
        <v>0.26634193840145903</v>
      </c>
      <c r="AX183" s="427">
        <f>AW183*Indeksacja!AX$61</f>
        <v>0.27063900743667535</v>
      </c>
      <c r="AY183" s="427">
        <f>AX183*Indeksacja!AY$61</f>
        <v>0.27479250168154595</v>
      </c>
      <c r="AZ183" s="427">
        <f>AY183*Indeksacja!AZ$61</f>
        <v>0.27897307366929619</v>
      </c>
      <c r="BA183" s="427">
        <f>AZ183*Indeksacja!BA$61</f>
        <v>0.28321724703640655</v>
      </c>
      <c r="BB183" s="427">
        <f>BA183*Indeksacja!BB$61</f>
        <v>0.28752598938622614</v>
      </c>
      <c r="BC183" s="427">
        <f>BB183*Indeksacja!BC$61</f>
        <v>0.29190028304279486</v>
      </c>
      <c r="BD183" s="427">
        <f>BC183*Indeksacja!BD$61</f>
        <v>0.29634112527479756</v>
      </c>
      <c r="BE183" s="427">
        <f>BD183*Indeksacja!BE$61</f>
        <v>0.30108777438433348</v>
      </c>
      <c r="BF183" s="427">
        <f>BE183*Indeksacja!BF$61</f>
        <v>0.30591045302823849</v>
      </c>
      <c r="BG183" s="427">
        <f>BF183*Indeksacja!BG$61</f>
        <v>0.31081037901089692</v>
      </c>
      <c r="BH183" s="427">
        <f>BG183*Indeksacja!BH$61</f>
        <v>0.31603866817869963</v>
      </c>
      <c r="BI183" s="427">
        <f>BH183*Indeksacja!BI$61</f>
        <v>0.32135490488451296</v>
      </c>
    </row>
    <row r="184" spans="1:61">
      <c r="A184" s="831"/>
      <c r="B184" s="421" t="s">
        <v>245</v>
      </c>
      <c r="C184" s="396"/>
      <c r="D184" s="396"/>
      <c r="E184" s="396"/>
      <c r="F184" s="396"/>
      <c r="G184" s="396"/>
      <c r="H184" s="396"/>
      <c r="I184" s="396"/>
      <c r="J184" s="396"/>
      <c r="K184" s="396"/>
      <c r="L184" s="396"/>
      <c r="M184" s="396"/>
      <c r="N184" s="396"/>
      <c r="O184" s="396"/>
      <c r="P184" s="432"/>
      <c r="Q184" s="393">
        <f>Q182*$B$90+Q183*$B$91</f>
        <v>6.8189167687717406E-2</v>
      </c>
      <c r="R184" s="393">
        <f>R182*$B$90+R183*$B$91</f>
        <v>7.222374266617701E-2</v>
      </c>
      <c r="S184" s="393">
        <f t="shared" ref="S184:BI184" si="78">S182*$B$90+S183*$B$91</f>
        <v>7.6551166160293949E-2</v>
      </c>
      <c r="T184" s="393">
        <f t="shared" si="78"/>
        <v>8.1258554658675111E-2</v>
      </c>
      <c r="U184" s="393">
        <f t="shared" si="78"/>
        <v>8.2538025107886576E-2</v>
      </c>
      <c r="V184" s="393">
        <f t="shared" si="78"/>
        <v>9.0861793266540911E-2</v>
      </c>
      <c r="W184" s="393">
        <f t="shared" si="78"/>
        <v>9.37687615715323E-2</v>
      </c>
      <c r="X184" s="393">
        <f t="shared" si="78"/>
        <v>9.6330189247457176E-2</v>
      </c>
      <c r="Y184" s="393">
        <f t="shared" si="78"/>
        <v>9.8821003797037968E-2</v>
      </c>
      <c r="Z184" s="393">
        <f t="shared" si="78"/>
        <v>0.10147012231529463</v>
      </c>
      <c r="AA184" s="393">
        <f t="shared" si="78"/>
        <v>0.10412404341823939</v>
      </c>
      <c r="AB184" s="393">
        <f t="shared" si="78"/>
        <v>0.10686303271080244</v>
      </c>
      <c r="AC184" s="393">
        <f t="shared" si="78"/>
        <v>0.10960428690356182</v>
      </c>
      <c r="AD184" s="393">
        <f t="shared" si="78"/>
        <v>0.11234387710743715</v>
      </c>
      <c r="AE184" s="393">
        <f t="shared" si="78"/>
        <v>0.1150776256263686</v>
      </c>
      <c r="AF184" s="393">
        <f t="shared" si="78"/>
        <v>0.11789612758146173</v>
      </c>
      <c r="AG184" s="393">
        <f t="shared" si="78"/>
        <v>0.12070654509294483</v>
      </c>
      <c r="AH184" s="393">
        <f t="shared" si="78"/>
        <v>0.12360060336071441</v>
      </c>
      <c r="AI184" s="393">
        <f t="shared" si="78"/>
        <v>0.12648027377864585</v>
      </c>
      <c r="AJ184" s="393">
        <f t="shared" si="78"/>
        <v>0.12933929081771739</v>
      </c>
      <c r="AK184" s="393">
        <f t="shared" si="78"/>
        <v>0.13217308678564502</v>
      </c>
      <c r="AL184" s="393">
        <f t="shared" si="78"/>
        <v>0.13497541118040518</v>
      </c>
      <c r="AM184" s="393">
        <f t="shared" si="78"/>
        <v>0.13773991466710281</v>
      </c>
      <c r="AN184" s="393">
        <f t="shared" si="78"/>
        <v>0.14045998565653323</v>
      </c>
      <c r="AO184" s="393">
        <f t="shared" si="78"/>
        <v>0.14324274163776929</v>
      </c>
      <c r="AP184" s="393">
        <f t="shared" si="78"/>
        <v>0.14585744378495644</v>
      </c>
      <c r="AQ184" s="393">
        <f t="shared" si="78"/>
        <v>0.14852702209942009</v>
      </c>
      <c r="AR184" s="393">
        <f t="shared" si="78"/>
        <v>0.15125160149704758</v>
      </c>
      <c r="AS184" s="393">
        <f t="shared" si="78"/>
        <v>0.15391088740109393</v>
      </c>
      <c r="AT184" s="393">
        <f t="shared" si="78"/>
        <v>0.15649907163829849</v>
      </c>
      <c r="AU184" s="393">
        <f t="shared" si="78"/>
        <v>0.15901041620881395</v>
      </c>
      <c r="AV184" s="393">
        <f t="shared" si="78"/>
        <v>0.16156766285080348</v>
      </c>
      <c r="AW184" s="393">
        <f t="shared" si="78"/>
        <v>0.16417038720945026</v>
      </c>
      <c r="AX184" s="393">
        <f t="shared" si="78"/>
        <v>0.16681905565277244</v>
      </c>
      <c r="AY184" s="393">
        <f t="shared" si="78"/>
        <v>0.16937922609586964</v>
      </c>
      <c r="AZ184" s="393">
        <f t="shared" si="78"/>
        <v>0.17195608697668005</v>
      </c>
      <c r="BA184" s="393">
        <f t="shared" si="78"/>
        <v>0.17457215108301055</v>
      </c>
      <c r="BB184" s="393">
        <f t="shared" si="78"/>
        <v>0.17722801483545281</v>
      </c>
      <c r="BC184" s="393">
        <f t="shared" si="78"/>
        <v>0.17992428372827843</v>
      </c>
      <c r="BD184" s="393">
        <f t="shared" si="78"/>
        <v>0.18266157246748196</v>
      </c>
      <c r="BE184" s="393">
        <f t="shared" si="78"/>
        <v>0.18558735736991563</v>
      </c>
      <c r="BF184" s="393">
        <f t="shared" si="78"/>
        <v>0.18856000608272644</v>
      </c>
      <c r="BG184" s="393">
        <f t="shared" si="78"/>
        <v>0.19158026924780924</v>
      </c>
      <c r="BH184" s="393">
        <f t="shared" si="78"/>
        <v>0.19480293204839072</v>
      </c>
      <c r="BI184" s="393">
        <f t="shared" si="78"/>
        <v>0.19807980479223528</v>
      </c>
    </row>
    <row r="185" spans="1:61">
      <c r="A185" s="831" t="s">
        <v>230</v>
      </c>
      <c r="B185" s="422" t="s">
        <v>226</v>
      </c>
      <c r="C185" s="428"/>
      <c r="D185" s="428"/>
      <c r="E185" s="428"/>
      <c r="F185" s="428"/>
      <c r="G185" s="428"/>
      <c r="H185" s="428"/>
      <c r="I185" s="428"/>
      <c r="J185" s="428"/>
      <c r="K185" s="428"/>
      <c r="L185" s="428"/>
      <c r="M185" s="428"/>
      <c r="N185" s="428"/>
      <c r="O185" s="428"/>
      <c r="P185" s="429"/>
      <c r="Q185" s="436">
        <f>AVERAGE(W53:W54)*$B$98*$Q$101*$Q$105/100</f>
        <v>8.7743110930090018E-2</v>
      </c>
      <c r="R185" s="433">
        <f>Q185*Indeksacja!R$61</f>
        <v>9.293464166576304E-2</v>
      </c>
      <c r="S185" s="426">
        <f>R185*Indeksacja!S$61</f>
        <v>9.8502998232669406E-2</v>
      </c>
      <c r="T185" s="426">
        <f>S185*Indeksacja!T$61</f>
        <v>0.10456027866606714</v>
      </c>
      <c r="U185" s="426">
        <f>T185*Indeksacja!U$61</f>
        <v>0.1062066503899613</v>
      </c>
      <c r="V185" s="426">
        <f>U185*Indeksacja!V$61</f>
        <v>0.11691734444397764</v>
      </c>
      <c r="W185" s="426">
        <f>V185*Indeksacja!W$61</f>
        <v>0.12065791572684224</v>
      </c>
      <c r="X185" s="426">
        <f>W185*Indeksacja!X$61</f>
        <v>0.12395385906108773</v>
      </c>
      <c r="Y185" s="426">
        <f>X185*Indeksacja!Y$61</f>
        <v>0.12715894023073979</v>
      </c>
      <c r="Z185" s="426">
        <f>Y185*Indeksacja!Z$61</f>
        <v>0.13056772065578989</v>
      </c>
      <c r="AA185" s="426">
        <f>Z185*Indeksacja!AA$61</f>
        <v>0.13398268085594692</v>
      </c>
      <c r="AB185" s="426">
        <f>AA185*Indeksacja!AB$61</f>
        <v>0.13750710342162925</v>
      </c>
      <c r="AC185" s="426">
        <f>AB185*Indeksacja!AC$61</f>
        <v>0.14103444037087001</v>
      </c>
      <c r="AD185" s="426">
        <f>AC185*Indeksacja!AD$61</f>
        <v>0.14455963616534689</v>
      </c>
      <c r="AE185" s="426">
        <f>AD185*Indeksacja!AE$61</f>
        <v>0.14807731511180483</v>
      </c>
      <c r="AF185" s="426">
        <f>AE185*Indeksacja!AF$61</f>
        <v>0.15170405141154936</v>
      </c>
      <c r="AG185" s="426">
        <f>AF185*Indeksacja!AG$61</f>
        <v>0.15532038497055753</v>
      </c>
      <c r="AH185" s="426">
        <f>AG185*Indeksacja!AH$61</f>
        <v>0.1590443441306103</v>
      </c>
      <c r="AI185" s="426">
        <f>AH185*Indeksacja!AI$61</f>
        <v>0.16274978957730943</v>
      </c>
      <c r="AJ185" s="426">
        <f>AI185*Indeksacja!AJ$61</f>
        <v>0.16642865907692145</v>
      </c>
      <c r="AK185" s="426">
        <f>AJ185*Indeksacja!AK$61</f>
        <v>0.17007507510454958</v>
      </c>
      <c r="AL185" s="426">
        <f>AK185*Indeksacja!AL$61</f>
        <v>0.17368099476260446</v>
      </c>
      <c r="AM185" s="426">
        <f>AL185*Indeksacja!AM$61</f>
        <v>0.17723824797928542</v>
      </c>
      <c r="AN185" s="426">
        <f>AM185*Indeksacja!AN$61</f>
        <v>0.18073832722436911</v>
      </c>
      <c r="AO185" s="426">
        <f>AN185*Indeksacja!AO$61</f>
        <v>0.18431906702561102</v>
      </c>
      <c r="AP185" s="426">
        <f>AO185*Indeksacja!AP$61</f>
        <v>0.18768356183218293</v>
      </c>
      <c r="AQ185" s="426">
        <f>AP185*Indeksacja!AQ$61</f>
        <v>0.19111866910985598</v>
      </c>
      <c r="AR185" s="426">
        <f>AQ185*Indeksacja!AR$61</f>
        <v>0.19462454959542949</v>
      </c>
      <c r="AS185" s="426">
        <f>AR185*Indeksacja!AS$61</f>
        <v>0.19804641300843007</v>
      </c>
      <c r="AT185" s="426">
        <f>AS185*Indeksacja!AT$61</f>
        <v>0.20137678562234093</v>
      </c>
      <c r="AU185" s="426">
        <f>AT185*Indeksacja!AU$61</f>
        <v>0.20460828400700459</v>
      </c>
      <c r="AV185" s="426">
        <f>AU185*Indeksacja!AV$61</f>
        <v>0.20789884735294942</v>
      </c>
      <c r="AW185" s="426">
        <f>AV185*Indeksacja!AW$61</f>
        <v>0.21124792961726233</v>
      </c>
      <c r="AX185" s="426">
        <f>AW185*Indeksacja!AX$61</f>
        <v>0.21465613090377408</v>
      </c>
      <c r="AY185" s="426">
        <f>AX185*Indeksacja!AY$61</f>
        <v>0.21795045648078323</v>
      </c>
      <c r="AZ185" s="426">
        <f>AY185*Indeksacja!AZ$61</f>
        <v>0.22126625864971169</v>
      </c>
      <c r="BA185" s="426">
        <f>AZ185*Indeksacja!BA$61</f>
        <v>0.22463250597118076</v>
      </c>
      <c r="BB185" s="426">
        <f>BA185*Indeksacja!BB$61</f>
        <v>0.22804996589550419</v>
      </c>
      <c r="BC185" s="426">
        <f>BB185*Indeksacja!BC$61</f>
        <v>0.23151941754864649</v>
      </c>
      <c r="BD185" s="426">
        <f>BC185*Indeksacja!BD$61</f>
        <v>0.23504165190985113</v>
      </c>
      <c r="BE185" s="426">
        <f>BD185*Indeksacja!BE$61</f>
        <v>0.23880643564247411</v>
      </c>
      <c r="BF185" s="426">
        <f>BE185*Indeksacja!BF$61</f>
        <v>0.24263152186377623</v>
      </c>
      <c r="BG185" s="426">
        <f>BF185*Indeksacja!BG$61</f>
        <v>0.24651787646991494</v>
      </c>
      <c r="BH185" s="426">
        <f>BG185*Indeksacja!BH$61</f>
        <v>0.25066467088301975</v>
      </c>
      <c r="BI185" s="426">
        <f>BH185*Indeksacja!BI$61</f>
        <v>0.25488122049664308</v>
      </c>
    </row>
    <row r="186" spans="1:61">
      <c r="A186" s="831"/>
      <c r="B186" s="423" t="s">
        <v>227</v>
      </c>
      <c r="C186" s="430"/>
      <c r="D186" s="430"/>
      <c r="E186" s="430"/>
      <c r="F186" s="430"/>
      <c r="G186" s="430"/>
      <c r="H186" s="430"/>
      <c r="I186" s="430"/>
      <c r="J186" s="430"/>
      <c r="K186" s="430"/>
      <c r="L186" s="430"/>
      <c r="M186" s="430"/>
      <c r="N186" s="430"/>
      <c r="O186" s="430"/>
      <c r="P186" s="431"/>
      <c r="Q186" s="437">
        <f>AVERAGE(W55:W56)*$B$98*$Q$101*$Q$105/100</f>
        <v>0.15981137452769992</v>
      </c>
      <c r="R186" s="434">
        <f>Q186*Indeksacja!R$61</f>
        <v>0.1692669962166978</v>
      </c>
      <c r="S186" s="427">
        <f>R186*Indeksacja!S$61</f>
        <v>0.1794089516065252</v>
      </c>
      <c r="T186" s="427">
        <f>S186*Indeksacja!T$61</f>
        <v>0.19044141104066031</v>
      </c>
      <c r="U186" s="427">
        <f>T186*Indeksacja!U$61</f>
        <v>0.19344003880060717</v>
      </c>
      <c r="V186" s="427">
        <f>U186*Indeksacja!V$61</f>
        <v>0.21294801749857944</v>
      </c>
      <c r="W186" s="427">
        <f>V186*Indeksacja!W$61</f>
        <v>0.21976092659077842</v>
      </c>
      <c r="X186" s="427">
        <f>W186*Indeksacja!X$61</f>
        <v>0.22576401024062595</v>
      </c>
      <c r="Y186" s="427">
        <f>X186*Indeksacja!Y$61</f>
        <v>0.23160160161122428</v>
      </c>
      <c r="Z186" s="427">
        <f>Y186*Indeksacja!Z$61</f>
        <v>0.23781020168723954</v>
      </c>
      <c r="AA186" s="427">
        <f>Z186*Indeksacja!AA$61</f>
        <v>0.24403005732900399</v>
      </c>
      <c r="AB186" s="427">
        <f>AA186*Indeksacja!AB$61</f>
        <v>0.25044928282337819</v>
      </c>
      <c r="AC186" s="427">
        <f>AB186*Indeksacja!AC$61</f>
        <v>0.25687381644550666</v>
      </c>
      <c r="AD186" s="427">
        <f>AC186*Indeksacja!AD$61</f>
        <v>0.26329445026419457</v>
      </c>
      <c r="AE186" s="427">
        <f>AD186*Indeksacja!AE$61</f>
        <v>0.26970139323238385</v>
      </c>
      <c r="AF186" s="427">
        <f>AE186*Indeksacja!AF$61</f>
        <v>0.27630696838202123</v>
      </c>
      <c r="AG186" s="427">
        <f>AF186*Indeksacja!AG$61</f>
        <v>0.28289359644534823</v>
      </c>
      <c r="AH186" s="427">
        <f>AG186*Indeksacja!AH$61</f>
        <v>0.2896762489606805</v>
      </c>
      <c r="AI186" s="427">
        <f>AH186*Indeksacja!AI$61</f>
        <v>0.29642518142725571</v>
      </c>
      <c r="AJ186" s="427">
        <f>AI186*Indeksacja!AJ$61</f>
        <v>0.30312570965344843</v>
      </c>
      <c r="AK186" s="427">
        <f>AJ186*Indeksacja!AK$61</f>
        <v>0.30976712857851241</v>
      </c>
      <c r="AL186" s="427">
        <f>AK186*Indeksacja!AL$61</f>
        <v>0.31633478922880948</v>
      </c>
      <c r="AM186" s="427">
        <f>AL186*Indeksacja!AM$61</f>
        <v>0.32281381100128592</v>
      </c>
      <c r="AN186" s="427">
        <f>AM186*Indeksacja!AN$61</f>
        <v>0.32918869866122275</v>
      </c>
      <c r="AO186" s="427">
        <f>AN186*Indeksacja!AO$61</f>
        <v>0.33571049784746826</v>
      </c>
      <c r="AP186" s="427">
        <f>AO186*Indeksacja!AP$61</f>
        <v>0.34183843808038261</v>
      </c>
      <c r="AQ186" s="427">
        <f>AP186*Indeksacja!AQ$61</f>
        <v>0.34809498870727379</v>
      </c>
      <c r="AR186" s="427">
        <f>AQ186*Indeksacja!AR$61</f>
        <v>0.35448044248695287</v>
      </c>
      <c r="AS186" s="427">
        <f>AR186*Indeksacja!AS$61</f>
        <v>0.36071287133157609</v>
      </c>
      <c r="AT186" s="427">
        <f>AS186*Indeksacja!AT$61</f>
        <v>0.36677866293021866</v>
      </c>
      <c r="AU186" s="427">
        <f>AT186*Indeksacja!AU$61</f>
        <v>0.37266436943370257</v>
      </c>
      <c r="AV186" s="427">
        <f>AU186*Indeksacja!AV$61</f>
        <v>0.3786576542136883</v>
      </c>
      <c r="AW186" s="427">
        <f>AV186*Indeksacja!AW$61</f>
        <v>0.38475752273205699</v>
      </c>
      <c r="AX186" s="427">
        <f>AW186*Indeksacja!AX$61</f>
        <v>0.39096506799106301</v>
      </c>
      <c r="AY186" s="427">
        <f>AX186*Indeksacja!AY$61</f>
        <v>0.39696520513029737</v>
      </c>
      <c r="AZ186" s="427">
        <f>AY186*Indeksacja!AZ$61</f>
        <v>0.40300445877267832</v>
      </c>
      <c r="BA186" s="427">
        <f>AZ186*Indeksacja!BA$61</f>
        <v>0.40913559095777702</v>
      </c>
      <c r="BB186" s="427">
        <f>BA186*Indeksacja!BB$61</f>
        <v>0.41535999948524083</v>
      </c>
      <c r="BC186" s="427">
        <f>BB186*Indeksacja!BC$61</f>
        <v>0.42167910342022485</v>
      </c>
      <c r="BD186" s="427">
        <f>BC186*Indeksacja!BD$61</f>
        <v>0.42809434341691588</v>
      </c>
      <c r="BE186" s="427">
        <f>BD186*Indeksacja!BE$61</f>
        <v>0.43495135198126206</v>
      </c>
      <c r="BF186" s="427">
        <f>BE186*Indeksacja!BF$61</f>
        <v>0.44191819279911626</v>
      </c>
      <c r="BG186" s="427">
        <f>BF186*Indeksacja!BG$61</f>
        <v>0.44899662511050237</v>
      </c>
      <c r="BH186" s="427">
        <f>BG186*Indeksacja!BH$61</f>
        <v>0.45654941082800543</v>
      </c>
      <c r="BI186" s="427">
        <f>BH186*Indeksacja!BI$61</f>
        <v>0.46422924554522083</v>
      </c>
    </row>
    <row r="187" spans="1:61">
      <c r="A187" s="831"/>
      <c r="B187" s="421" t="s">
        <v>245</v>
      </c>
      <c r="C187" s="396"/>
      <c r="D187" s="396"/>
      <c r="E187" s="396"/>
      <c r="F187" s="396"/>
      <c r="G187" s="396"/>
      <c r="H187" s="396"/>
      <c r="I187" s="396"/>
      <c r="J187" s="396"/>
      <c r="K187" s="396"/>
      <c r="L187" s="396"/>
      <c r="M187" s="396"/>
      <c r="N187" s="396"/>
      <c r="O187" s="396"/>
      <c r="P187" s="432"/>
      <c r="Q187" s="393">
        <f>Q185*$B$90+Q186*$B$91</f>
        <v>9.8553350469731502E-2</v>
      </c>
      <c r="R187" s="393">
        <f>R185*$B$90+R186*$B$91</f>
        <v>0.10438449484840324</v>
      </c>
      <c r="S187" s="393">
        <f t="shared" ref="S187:BI187" si="79">S185*$B$90+S186*$B$91</f>
        <v>0.11063889123874777</v>
      </c>
      <c r="T187" s="393">
        <f t="shared" si="79"/>
        <v>0.1174424485222561</v>
      </c>
      <c r="U187" s="393">
        <f t="shared" si="79"/>
        <v>0.11929165865155818</v>
      </c>
      <c r="V187" s="393">
        <f t="shared" si="79"/>
        <v>0.13132194540216791</v>
      </c>
      <c r="W187" s="393">
        <f t="shared" si="79"/>
        <v>0.13552336735643267</v>
      </c>
      <c r="X187" s="393">
        <f t="shared" si="79"/>
        <v>0.13922538173801846</v>
      </c>
      <c r="Y187" s="393">
        <f t="shared" si="79"/>
        <v>0.14282533943781245</v>
      </c>
      <c r="Z187" s="393">
        <f t="shared" si="79"/>
        <v>0.14665409281050734</v>
      </c>
      <c r="AA187" s="393">
        <f t="shared" si="79"/>
        <v>0.15048978732690549</v>
      </c>
      <c r="AB187" s="393">
        <f t="shared" si="79"/>
        <v>0.1544484303318916</v>
      </c>
      <c r="AC187" s="393">
        <f t="shared" si="79"/>
        <v>0.1584103467820655</v>
      </c>
      <c r="AD187" s="393">
        <f t="shared" si="79"/>
        <v>0.16236985828017406</v>
      </c>
      <c r="AE187" s="393">
        <f t="shared" si="79"/>
        <v>0.16632092682989169</v>
      </c>
      <c r="AF187" s="393">
        <f t="shared" si="79"/>
        <v>0.17039448895712014</v>
      </c>
      <c r="AG187" s="393">
        <f t="shared" si="79"/>
        <v>0.17445636669177614</v>
      </c>
      <c r="AH187" s="393">
        <f t="shared" si="79"/>
        <v>0.17863912985512084</v>
      </c>
      <c r="AI187" s="393">
        <f t="shared" si="79"/>
        <v>0.18280109835480138</v>
      </c>
      <c r="AJ187" s="393">
        <f t="shared" si="79"/>
        <v>0.18693321666340049</v>
      </c>
      <c r="AK187" s="393">
        <f t="shared" si="79"/>
        <v>0.19102888312564403</v>
      </c>
      <c r="AL187" s="393">
        <f t="shared" si="79"/>
        <v>0.19507906393253521</v>
      </c>
      <c r="AM187" s="393">
        <f t="shared" si="79"/>
        <v>0.19907458243258552</v>
      </c>
      <c r="AN187" s="393">
        <f t="shared" si="79"/>
        <v>0.20300588293989716</v>
      </c>
      <c r="AO187" s="393">
        <f t="shared" si="79"/>
        <v>0.2070277816488896</v>
      </c>
      <c r="AP187" s="393">
        <f t="shared" si="79"/>
        <v>0.21080679326941287</v>
      </c>
      <c r="AQ187" s="393">
        <f t="shared" si="79"/>
        <v>0.21466511704946867</v>
      </c>
      <c r="AR187" s="393">
        <f t="shared" si="79"/>
        <v>0.21860293352915802</v>
      </c>
      <c r="AS187" s="393">
        <f t="shared" si="79"/>
        <v>0.22244638175690196</v>
      </c>
      <c r="AT187" s="393">
        <f t="shared" si="79"/>
        <v>0.22618706721852258</v>
      </c>
      <c r="AU187" s="393">
        <f t="shared" si="79"/>
        <v>0.2298166968210093</v>
      </c>
      <c r="AV187" s="393">
        <f t="shared" si="79"/>
        <v>0.23351266838206025</v>
      </c>
      <c r="AW187" s="393">
        <f t="shared" si="79"/>
        <v>0.23727436858448153</v>
      </c>
      <c r="AX187" s="393">
        <f t="shared" si="79"/>
        <v>0.24110247146686745</v>
      </c>
      <c r="AY187" s="393">
        <f t="shared" si="79"/>
        <v>0.24480266877821036</v>
      </c>
      <c r="AZ187" s="393">
        <f t="shared" si="79"/>
        <v>0.24852698866815667</v>
      </c>
      <c r="BA187" s="393">
        <f t="shared" si="79"/>
        <v>0.25230796871917016</v>
      </c>
      <c r="BB187" s="393">
        <f t="shared" si="79"/>
        <v>0.2561464709339647</v>
      </c>
      <c r="BC187" s="393">
        <f t="shared" si="79"/>
        <v>0.26004337042938325</v>
      </c>
      <c r="BD187" s="393">
        <f t="shared" si="79"/>
        <v>0.26399955563591082</v>
      </c>
      <c r="BE187" s="393">
        <f t="shared" si="79"/>
        <v>0.26822817309329233</v>
      </c>
      <c r="BF187" s="393">
        <f t="shared" si="79"/>
        <v>0.27252452250407722</v>
      </c>
      <c r="BG187" s="393">
        <f t="shared" si="79"/>
        <v>0.27688968876600306</v>
      </c>
      <c r="BH187" s="393">
        <f t="shared" si="79"/>
        <v>0.28154738187476758</v>
      </c>
      <c r="BI187" s="393">
        <f t="shared" si="79"/>
        <v>0.28628342425392972</v>
      </c>
    </row>
    <row r="188" spans="1:61"/>
    <row r="189" spans="1:61"/>
    <row r="190" spans="1:61">
      <c r="A190" s="132" t="s">
        <v>820</v>
      </c>
      <c r="B190" s="647"/>
    </row>
    <row r="191" spans="1:61" s="694" customFormat="1">
      <c r="A191"/>
      <c r="B191"/>
      <c r="C191"/>
      <c r="D191"/>
      <c r="E191"/>
      <c r="F191"/>
      <c r="G191"/>
      <c r="H191"/>
      <c r="I191"/>
      <c r="J191"/>
      <c r="K191"/>
      <c r="L191"/>
      <c r="M191"/>
      <c r="N191"/>
      <c r="O191"/>
      <c r="P191"/>
      <c r="Q191"/>
      <c r="R191"/>
      <c r="S191"/>
      <c r="T191"/>
      <c r="U191"/>
      <c r="V191"/>
      <c r="W191"/>
      <c r="X191"/>
    </row>
    <row r="192" spans="1:61" s="694" customFormat="1">
      <c r="A192"/>
      <c r="B192"/>
      <c r="C192"/>
      <c r="D192"/>
      <c r="E192"/>
      <c r="F192"/>
      <c r="G192"/>
      <c r="H192"/>
      <c r="I192"/>
      <c r="J192"/>
      <c r="K192"/>
      <c r="L192"/>
      <c r="M192"/>
      <c r="N192"/>
      <c r="O192"/>
      <c r="P192"/>
      <c r="Q192"/>
      <c r="R192"/>
      <c r="S192"/>
      <c r="T192"/>
      <c r="U192"/>
      <c r="V192"/>
      <c r="W192"/>
      <c r="X192"/>
    </row>
    <row r="193" spans="1:24" s="694" customFormat="1">
      <c r="A193"/>
      <c r="B193"/>
      <c r="C193"/>
      <c r="D193"/>
      <c r="E193"/>
      <c r="F193"/>
      <c r="G193"/>
      <c r="H193"/>
      <c r="I193"/>
      <c r="J193"/>
      <c r="K193"/>
      <c r="L193"/>
      <c r="M193"/>
      <c r="N193"/>
      <c r="O193"/>
      <c r="P193"/>
      <c r="Q193"/>
      <c r="R193"/>
      <c r="S193"/>
      <c r="T193"/>
      <c r="U193"/>
      <c r="V193"/>
      <c r="W193"/>
      <c r="X193"/>
    </row>
    <row r="194" spans="1:24" s="694" customFormat="1">
      <c r="A194"/>
      <c r="B194"/>
      <c r="C194"/>
      <c r="D194"/>
      <c r="E194"/>
      <c r="F194"/>
      <c r="G194"/>
      <c r="H194"/>
      <c r="I194"/>
      <c r="J194"/>
      <c r="K194"/>
      <c r="L194"/>
      <c r="M194"/>
      <c r="N194"/>
      <c r="O194"/>
      <c r="P194"/>
      <c r="Q194"/>
      <c r="R194"/>
      <c r="S194"/>
      <c r="T194"/>
      <c r="U194"/>
      <c r="V194"/>
      <c r="W194"/>
      <c r="X194"/>
    </row>
    <row r="195" spans="1:24" s="694" customFormat="1">
      <c r="A195"/>
      <c r="B195"/>
      <c r="C195"/>
      <c r="D195"/>
      <c r="E195"/>
      <c r="F195"/>
      <c r="G195"/>
      <c r="H195"/>
      <c r="I195"/>
      <c r="J195"/>
      <c r="K195"/>
      <c r="L195"/>
      <c r="M195"/>
      <c r="N195"/>
      <c r="O195"/>
      <c r="P195"/>
      <c r="Q195"/>
      <c r="R195"/>
      <c r="S195"/>
      <c r="T195"/>
      <c r="U195"/>
      <c r="V195"/>
      <c r="W195"/>
      <c r="X195"/>
    </row>
    <row r="196" spans="1:24" s="694" customFormat="1">
      <c r="A196"/>
      <c r="B196"/>
      <c r="C196"/>
      <c r="D196"/>
      <c r="E196"/>
      <c r="F196"/>
      <c r="G196"/>
      <c r="H196"/>
      <c r="I196"/>
      <c r="J196"/>
      <c r="K196"/>
      <c r="L196"/>
      <c r="M196"/>
      <c r="N196"/>
      <c r="O196"/>
      <c r="P196"/>
      <c r="Q196"/>
      <c r="R196"/>
      <c r="S196"/>
      <c r="T196"/>
      <c r="U196"/>
      <c r="V196"/>
      <c r="W196"/>
      <c r="X196"/>
    </row>
    <row r="197" spans="1:24" s="694" customFormat="1">
      <c r="A197"/>
      <c r="B197"/>
      <c r="C197"/>
      <c r="D197"/>
      <c r="E197"/>
      <c r="F197"/>
      <c r="G197"/>
      <c r="H197"/>
      <c r="I197"/>
      <c r="J197"/>
      <c r="K197"/>
      <c r="L197"/>
      <c r="M197"/>
      <c r="N197"/>
      <c r="O197"/>
      <c r="P197"/>
      <c r="Q197"/>
      <c r="R197"/>
      <c r="S197"/>
      <c r="T197"/>
      <c r="U197"/>
      <c r="V197"/>
      <c r="W197"/>
      <c r="X197"/>
    </row>
    <row r="198" spans="1:24" s="694" customFormat="1">
      <c r="A198"/>
      <c r="B198"/>
      <c r="C198"/>
      <c r="D198"/>
      <c r="E198"/>
      <c r="F198"/>
      <c r="G198"/>
      <c r="H198"/>
      <c r="I198"/>
      <c r="J198"/>
      <c r="K198"/>
      <c r="L198"/>
      <c r="M198"/>
      <c r="N198"/>
      <c r="O198"/>
      <c r="P198"/>
      <c r="Q198"/>
      <c r="R198"/>
      <c r="S198"/>
      <c r="T198"/>
      <c r="U198"/>
      <c r="V198"/>
      <c r="W198"/>
      <c r="X198"/>
    </row>
    <row r="199" spans="1:24" s="694" customFormat="1"/>
    <row r="200" spans="1:24" s="694" customFormat="1"/>
    <row r="201" spans="1:24" s="694" customFormat="1"/>
    <row r="202" spans="1:24" s="694" customFormat="1"/>
    <row r="203" spans="1:24" s="694" customFormat="1"/>
    <row r="204" spans="1:24" s="694" customFormat="1"/>
    <row r="205" spans="1:24" hidden="1" outlineLevel="1"/>
    <row r="206" spans="1:24" hidden="1" outlineLevel="1">
      <c r="A206" s="1" t="s">
        <v>821</v>
      </c>
    </row>
    <row r="207" spans="1:24" hidden="1" outlineLevel="1">
      <c r="A207" s="6" t="s">
        <v>275</v>
      </c>
      <c r="B207" s="6"/>
      <c r="C207" s="6"/>
      <c r="D207" s="6"/>
      <c r="E207" s="6"/>
      <c r="F207" s="6"/>
      <c r="G207" s="6"/>
      <c r="H207" s="6"/>
      <c r="I207" s="6"/>
      <c r="J207" s="6"/>
      <c r="K207" s="6"/>
      <c r="L207" s="6"/>
      <c r="M207" s="6"/>
      <c r="N207" s="6"/>
      <c r="O207" s="6"/>
      <c r="P207" s="6" t="s">
        <v>276</v>
      </c>
      <c r="Q207" s="6" t="s">
        <v>277</v>
      </c>
      <c r="R207" s="6" t="s">
        <v>278</v>
      </c>
      <c r="S207" s="6" t="s">
        <v>279</v>
      </c>
      <c r="T207" s="6" t="s">
        <v>280</v>
      </c>
    </row>
    <row r="208" spans="1:24" hidden="1" outlineLevel="1">
      <c r="A208" s="504" t="s">
        <v>283</v>
      </c>
      <c r="B208" s="499"/>
      <c r="C208" s="396"/>
      <c r="D208" s="396"/>
      <c r="E208" s="396"/>
      <c r="F208" s="396"/>
      <c r="G208" s="396"/>
      <c r="H208" s="396"/>
      <c r="I208" s="396"/>
      <c r="J208" s="396"/>
      <c r="K208" s="396"/>
      <c r="L208" s="396"/>
      <c r="M208" s="396"/>
      <c r="N208" s="396"/>
      <c r="O208" s="396"/>
      <c r="P208" s="393">
        <v>169.00374057269295</v>
      </c>
      <c r="Q208" s="393">
        <v>359.39502616863945</v>
      </c>
      <c r="R208" s="393">
        <v>618.84740215831539</v>
      </c>
      <c r="S208" s="393">
        <v>995.44660159862178</v>
      </c>
      <c r="T208" s="393">
        <v>1262.705961711257</v>
      </c>
    </row>
    <row r="209" spans="1:61" s="490" customFormat="1" hidden="1" outlineLevel="1">
      <c r="A209" s="504" t="s">
        <v>284</v>
      </c>
      <c r="B209" s="499"/>
      <c r="C209" s="396"/>
      <c r="D209" s="396"/>
      <c r="E209" s="396"/>
      <c r="F209" s="396"/>
      <c r="G209" s="396"/>
      <c r="H209" s="396"/>
      <c r="I209" s="396"/>
      <c r="J209" s="396"/>
      <c r="K209" s="396"/>
      <c r="L209" s="396"/>
      <c r="M209" s="396"/>
      <c r="N209" s="396"/>
      <c r="O209" s="396"/>
      <c r="P209" s="393">
        <v>117.31395460832906</v>
      </c>
      <c r="Q209" s="393">
        <v>249.47407461831884</v>
      </c>
      <c r="R209" s="393">
        <v>429.57295383090081</v>
      </c>
      <c r="S209" s="393">
        <v>690.98930614926883</v>
      </c>
      <c r="T209" s="393">
        <v>876.50740376450415</v>
      </c>
    </row>
    <row r="210" spans="1:61" hidden="1" outlineLevel="1">
      <c r="A210" s="504" t="s">
        <v>285</v>
      </c>
      <c r="B210" s="499"/>
      <c r="C210" s="396"/>
      <c r="D210" s="396"/>
      <c r="E210" s="396"/>
      <c r="F210" s="396"/>
      <c r="G210" s="396"/>
      <c r="H210" s="396"/>
      <c r="I210" s="396"/>
      <c r="J210" s="396"/>
      <c r="K210" s="396"/>
      <c r="L210" s="396"/>
      <c r="M210" s="396"/>
      <c r="N210" s="396"/>
      <c r="O210" s="396"/>
      <c r="P210" s="393">
        <f>P209*$Q$101*$Q$105/100</f>
        <v>349.09141628149587</v>
      </c>
      <c r="Q210" s="393">
        <f>Q209*$Q$101*$Q$105/100</f>
        <v>742.36060257951044</v>
      </c>
      <c r="R210" s="393">
        <f>R209*$Q$101*$Q$105/100</f>
        <v>1278.2812696897008</v>
      </c>
      <c r="S210" s="393">
        <f>S209*$Q$101*$Q$105/100</f>
        <v>2056.1785366827144</v>
      </c>
      <c r="T210" s="393">
        <f>T209*$Q$101*$Q$105/100</f>
        <v>2608.2251849998042</v>
      </c>
    </row>
    <row r="211" spans="1:61" hidden="1" outlineLevel="1">
      <c r="A211" s="35" t="s">
        <v>403</v>
      </c>
    </row>
    <row r="212" spans="1:61" hidden="1" outlineLevel="1"/>
    <row r="213" spans="1:61" s="694" customFormat="1" hidden="1" outlineLevel="1">
      <c r="A213" s="1" t="s">
        <v>822</v>
      </c>
    </row>
    <row r="214" spans="1:61" s="694" customFormat="1" hidden="1" outlineLevel="1">
      <c r="A214" s="6" t="s">
        <v>275</v>
      </c>
      <c r="B214" s="6"/>
      <c r="C214" s="6"/>
      <c r="D214" s="6"/>
      <c r="E214" s="6"/>
      <c r="F214" s="6"/>
      <c r="G214" s="6"/>
      <c r="H214" s="6"/>
      <c r="I214" s="6"/>
      <c r="J214" s="6"/>
      <c r="K214" s="6"/>
      <c r="L214" s="6"/>
      <c r="M214" s="6"/>
      <c r="N214" s="6"/>
      <c r="O214" s="6"/>
      <c r="P214" s="6" t="s">
        <v>276</v>
      </c>
      <c r="Q214" s="6" t="s">
        <v>277</v>
      </c>
      <c r="R214" s="6" t="s">
        <v>278</v>
      </c>
      <c r="S214" s="6" t="s">
        <v>279</v>
      </c>
      <c r="T214" s="6" t="s">
        <v>280</v>
      </c>
    </row>
    <row r="215" spans="1:61" s="694" customFormat="1" hidden="1" outlineLevel="1">
      <c r="A215" s="504" t="s">
        <v>283</v>
      </c>
      <c r="B215" s="499"/>
      <c r="C215" s="396"/>
      <c r="D215" s="396"/>
      <c r="E215" s="396"/>
      <c r="F215" s="396"/>
      <c r="G215" s="396"/>
      <c r="H215" s="396"/>
      <c r="I215" s="396"/>
      <c r="J215" s="396"/>
      <c r="K215" s="396"/>
      <c r="L215" s="396"/>
      <c r="M215" s="396"/>
      <c r="N215" s="396"/>
      <c r="O215" s="396"/>
      <c r="P215" s="393">
        <v>167.68539099163675</v>
      </c>
      <c r="Q215" s="393">
        <v>361.48434287933912</v>
      </c>
      <c r="R215" s="393">
        <v>626.33285718138359</v>
      </c>
      <c r="S215" s="393">
        <v>1008.8905251370288</v>
      </c>
      <c r="T215" s="393">
        <v>1283.0661327005002</v>
      </c>
    </row>
    <row r="216" spans="1:61" s="694" customFormat="1" hidden="1" outlineLevel="1">
      <c r="A216" s="504" t="s">
        <v>284</v>
      </c>
      <c r="B216" s="499"/>
      <c r="C216" s="396"/>
      <c r="D216" s="396"/>
      <c r="E216" s="396"/>
      <c r="F216" s="396"/>
      <c r="G216" s="396"/>
      <c r="H216" s="396"/>
      <c r="I216" s="396"/>
      <c r="J216" s="396"/>
      <c r="K216" s="396"/>
      <c r="L216" s="396"/>
      <c r="M216" s="396"/>
      <c r="N216" s="396"/>
      <c r="O216" s="396"/>
      <c r="P216" s="393">
        <v>116.39882218353274</v>
      </c>
      <c r="Q216" s="393">
        <v>250.92437391306149</v>
      </c>
      <c r="R216" s="393">
        <v>434.76898279347392</v>
      </c>
      <c r="S216" s="393">
        <v>700.32140631698167</v>
      </c>
      <c r="T216" s="393">
        <v>890.64041743127882</v>
      </c>
    </row>
    <row r="217" spans="1:61" s="694" customFormat="1" hidden="1" outlineLevel="1">
      <c r="A217" s="504" t="s">
        <v>285</v>
      </c>
      <c r="B217" s="499"/>
      <c r="C217" s="396"/>
      <c r="D217" s="396"/>
      <c r="E217" s="396"/>
      <c r="F217" s="396"/>
      <c r="G217" s="396"/>
      <c r="H217" s="396"/>
      <c r="I217" s="396"/>
      <c r="J217" s="396"/>
      <c r="K217" s="396"/>
      <c r="L217" s="396"/>
      <c r="M217" s="396"/>
      <c r="N217" s="396"/>
      <c r="O217" s="396"/>
      <c r="P217" s="393">
        <f>P216*$Q$101*$Q$105/100</f>
        <v>346.36825452871165</v>
      </c>
      <c r="Q217" s="393">
        <f>Q216*$Q$101*$Q$105/100</f>
        <v>746.6762616715946</v>
      </c>
      <c r="R217" s="393">
        <f>R216*$Q$101*$Q$105/100</f>
        <v>1293.7431055440991</v>
      </c>
      <c r="S217" s="393">
        <f>S216*$Q$101*$Q$105/100</f>
        <v>2083.9480895488177</v>
      </c>
      <c r="T217" s="393">
        <f>T216*$Q$101*$Q$105/100</f>
        <v>2650.2808276872584</v>
      </c>
    </row>
    <row r="218" spans="1:61" s="694" customFormat="1" hidden="1" outlineLevel="1">
      <c r="A218" s="35" t="s">
        <v>403</v>
      </c>
    </row>
    <row r="219" spans="1:61" s="694" customFormat="1" ht="45" hidden="1" outlineLevel="1">
      <c r="A219" s="706" t="s">
        <v>825</v>
      </c>
      <c r="B219" s="703"/>
      <c r="C219" s="704"/>
      <c r="D219" s="704"/>
      <c r="E219" s="704"/>
      <c r="F219" s="704"/>
      <c r="G219" s="704"/>
      <c r="H219" s="704"/>
      <c r="I219" s="704"/>
      <c r="J219" s="704"/>
      <c r="K219" s="704"/>
      <c r="L219" s="704"/>
      <c r="M219" s="704"/>
      <c r="N219" s="704"/>
      <c r="O219" s="704"/>
      <c r="P219" s="705">
        <f>(P217-P210)/P210</f>
        <v>-7.8007124374217026E-3</v>
      </c>
      <c r="Q219" s="705">
        <f t="shared" ref="Q219:T219" si="80">(Q217-Q210)/Q210</f>
        <v>5.8134268940032178E-3</v>
      </c>
      <c r="R219" s="705">
        <f t="shared" si="80"/>
        <v>1.2095800995466026E-2</v>
      </c>
      <c r="S219" s="705">
        <f t="shared" si="80"/>
        <v>1.3505419092110893E-2</v>
      </c>
      <c r="T219" s="705">
        <f t="shared" si="80"/>
        <v>1.6124237634588007E-2</v>
      </c>
    </row>
    <row r="220" spans="1:61" s="694" customFormat="1" hidden="1" outlineLevel="1"/>
    <row r="221" spans="1:61" collapsed="1">
      <c r="A221" s="1" t="s">
        <v>823</v>
      </c>
    </row>
    <row r="222" spans="1:61">
      <c r="A222" s="724" t="s">
        <v>281</v>
      </c>
      <c r="B222" s="685" t="s">
        <v>328</v>
      </c>
      <c r="C222" s="671"/>
      <c r="D222" s="671"/>
      <c r="E222" s="671"/>
      <c r="F222" s="671"/>
      <c r="G222" s="671"/>
      <c r="H222" s="671"/>
      <c r="I222" s="671"/>
      <c r="J222" s="671"/>
      <c r="K222" s="671"/>
      <c r="L222" s="671"/>
      <c r="M222" s="671"/>
      <c r="N222" s="671"/>
      <c r="O222" s="671"/>
      <c r="P222" s="674"/>
      <c r="Q222" s="6"/>
      <c r="R222" s="6"/>
      <c r="S222" s="6"/>
      <c r="T222" s="6">
        <v>2020</v>
      </c>
      <c r="U222" s="6">
        <f>T222+1</f>
        <v>2021</v>
      </c>
      <c r="V222" s="6">
        <f t="shared" ref="V222:BI222" si="81">U222+1</f>
        <v>2022</v>
      </c>
      <c r="W222" s="6">
        <f t="shared" si="81"/>
        <v>2023</v>
      </c>
      <c r="X222" s="6">
        <f t="shared" si="81"/>
        <v>2024</v>
      </c>
      <c r="Y222" s="6">
        <f t="shared" si="81"/>
        <v>2025</v>
      </c>
      <c r="Z222" s="6">
        <f t="shared" si="81"/>
        <v>2026</v>
      </c>
      <c r="AA222" s="6">
        <f t="shared" si="81"/>
        <v>2027</v>
      </c>
      <c r="AB222" s="6">
        <f t="shared" si="81"/>
        <v>2028</v>
      </c>
      <c r="AC222" s="6">
        <f t="shared" si="81"/>
        <v>2029</v>
      </c>
      <c r="AD222" s="6">
        <f t="shared" si="81"/>
        <v>2030</v>
      </c>
      <c r="AE222" s="6">
        <f t="shared" si="81"/>
        <v>2031</v>
      </c>
      <c r="AF222" s="6">
        <f t="shared" si="81"/>
        <v>2032</v>
      </c>
      <c r="AG222" s="6">
        <f t="shared" si="81"/>
        <v>2033</v>
      </c>
      <c r="AH222" s="6">
        <f t="shared" si="81"/>
        <v>2034</v>
      </c>
      <c r="AI222" s="6">
        <f t="shared" si="81"/>
        <v>2035</v>
      </c>
      <c r="AJ222" s="6">
        <f t="shared" si="81"/>
        <v>2036</v>
      </c>
      <c r="AK222" s="6">
        <f t="shared" si="81"/>
        <v>2037</v>
      </c>
      <c r="AL222" s="6">
        <f t="shared" si="81"/>
        <v>2038</v>
      </c>
      <c r="AM222" s="6">
        <f t="shared" si="81"/>
        <v>2039</v>
      </c>
      <c r="AN222" s="6">
        <f t="shared" si="81"/>
        <v>2040</v>
      </c>
      <c r="AO222" s="6">
        <f t="shared" si="81"/>
        <v>2041</v>
      </c>
      <c r="AP222" s="6">
        <f t="shared" si="81"/>
        <v>2042</v>
      </c>
      <c r="AQ222" s="6">
        <f t="shared" si="81"/>
        <v>2043</v>
      </c>
      <c r="AR222" s="6">
        <f t="shared" si="81"/>
        <v>2044</v>
      </c>
      <c r="AS222" s="6">
        <f t="shared" si="81"/>
        <v>2045</v>
      </c>
      <c r="AT222" s="6">
        <f t="shared" si="81"/>
        <v>2046</v>
      </c>
      <c r="AU222" s="6">
        <f t="shared" si="81"/>
        <v>2047</v>
      </c>
      <c r="AV222" s="6">
        <f t="shared" si="81"/>
        <v>2048</v>
      </c>
      <c r="AW222" s="6">
        <f t="shared" si="81"/>
        <v>2049</v>
      </c>
      <c r="AX222" s="6">
        <f t="shared" si="81"/>
        <v>2050</v>
      </c>
      <c r="AY222" s="6">
        <f t="shared" si="81"/>
        <v>2051</v>
      </c>
      <c r="AZ222" s="6">
        <f t="shared" si="81"/>
        <v>2052</v>
      </c>
      <c r="BA222" s="6">
        <f t="shared" si="81"/>
        <v>2053</v>
      </c>
      <c r="BB222" s="6">
        <f t="shared" si="81"/>
        <v>2054</v>
      </c>
      <c r="BC222" s="6">
        <f t="shared" si="81"/>
        <v>2055</v>
      </c>
      <c r="BD222" s="6">
        <f t="shared" si="81"/>
        <v>2056</v>
      </c>
      <c r="BE222" s="6">
        <f t="shared" si="81"/>
        <v>2057</v>
      </c>
      <c r="BF222" s="6">
        <f t="shared" si="81"/>
        <v>2058</v>
      </c>
      <c r="BG222" s="6">
        <f t="shared" si="81"/>
        <v>2059</v>
      </c>
      <c r="BH222" s="6">
        <f t="shared" si="81"/>
        <v>2060</v>
      </c>
      <c r="BI222" s="6">
        <f t="shared" si="81"/>
        <v>2061</v>
      </c>
    </row>
    <row r="223" spans="1:61">
      <c r="A223" s="726"/>
      <c r="B223" s="686" t="s">
        <v>530</v>
      </c>
      <c r="C223" s="681"/>
      <c r="D223" s="681"/>
      <c r="E223" s="681"/>
      <c r="F223" s="681"/>
      <c r="G223" s="681"/>
      <c r="H223" s="681"/>
      <c r="I223" s="681"/>
      <c r="J223" s="681"/>
      <c r="K223" s="681"/>
      <c r="L223" s="681"/>
      <c r="M223" s="681"/>
      <c r="N223" s="681"/>
      <c r="O223" s="681"/>
      <c r="P223" s="687"/>
      <c r="Q223" s="683">
        <f>DATE(2016,12,31)</f>
        <v>42735</v>
      </c>
      <c r="R223" s="683">
        <f>DATE(YEAR(Q223+1),12,31)</f>
        <v>43100</v>
      </c>
      <c r="S223" s="683">
        <f t="shared" ref="S223" si="82">DATE(YEAR(R223+1),12,31)</f>
        <v>43465</v>
      </c>
      <c r="T223" s="683">
        <f>DATE(YEAR(S223+1),12,31)</f>
        <v>43830</v>
      </c>
      <c r="U223" s="683">
        <f t="shared" ref="U223:BI223" si="83">DATE(YEAR(T223+1),12,31)</f>
        <v>44196</v>
      </c>
      <c r="V223" s="683">
        <f t="shared" si="83"/>
        <v>44561</v>
      </c>
      <c r="W223" s="683">
        <f t="shared" si="83"/>
        <v>44926</v>
      </c>
      <c r="X223" s="683">
        <f t="shared" si="83"/>
        <v>45291</v>
      </c>
      <c r="Y223" s="683">
        <f t="shared" si="83"/>
        <v>45657</v>
      </c>
      <c r="Z223" s="683">
        <f t="shared" si="83"/>
        <v>46022</v>
      </c>
      <c r="AA223" s="683">
        <f t="shared" si="83"/>
        <v>46387</v>
      </c>
      <c r="AB223" s="683">
        <f t="shared" si="83"/>
        <v>46752</v>
      </c>
      <c r="AC223" s="683">
        <f t="shared" si="83"/>
        <v>47118</v>
      </c>
      <c r="AD223" s="683">
        <f t="shared" si="83"/>
        <v>47483</v>
      </c>
      <c r="AE223" s="683">
        <f t="shared" si="83"/>
        <v>47848</v>
      </c>
      <c r="AF223" s="683">
        <f t="shared" si="83"/>
        <v>48213</v>
      </c>
      <c r="AG223" s="683">
        <f t="shared" si="83"/>
        <v>48579</v>
      </c>
      <c r="AH223" s="683">
        <f t="shared" si="83"/>
        <v>48944</v>
      </c>
      <c r="AI223" s="683">
        <f t="shared" si="83"/>
        <v>49309</v>
      </c>
      <c r="AJ223" s="683">
        <f t="shared" si="83"/>
        <v>49674</v>
      </c>
      <c r="AK223" s="683">
        <f t="shared" si="83"/>
        <v>50040</v>
      </c>
      <c r="AL223" s="683">
        <f t="shared" si="83"/>
        <v>50405</v>
      </c>
      <c r="AM223" s="683">
        <f t="shared" si="83"/>
        <v>50770</v>
      </c>
      <c r="AN223" s="683">
        <f t="shared" si="83"/>
        <v>51135</v>
      </c>
      <c r="AO223" s="683">
        <f t="shared" si="83"/>
        <v>51501</v>
      </c>
      <c r="AP223" s="683">
        <f t="shared" si="83"/>
        <v>51866</v>
      </c>
      <c r="AQ223" s="683">
        <f t="shared" si="83"/>
        <v>52231</v>
      </c>
      <c r="AR223" s="683">
        <f t="shared" si="83"/>
        <v>52596</v>
      </c>
      <c r="AS223" s="683">
        <f t="shared" si="83"/>
        <v>52962</v>
      </c>
      <c r="AT223" s="683">
        <f t="shared" si="83"/>
        <v>53327</v>
      </c>
      <c r="AU223" s="683">
        <f t="shared" si="83"/>
        <v>53692</v>
      </c>
      <c r="AV223" s="683">
        <f t="shared" si="83"/>
        <v>54057</v>
      </c>
      <c r="AW223" s="683">
        <f t="shared" si="83"/>
        <v>54423</v>
      </c>
      <c r="AX223" s="683">
        <f t="shared" si="83"/>
        <v>54788</v>
      </c>
      <c r="AY223" s="683">
        <f t="shared" si="83"/>
        <v>55153</v>
      </c>
      <c r="AZ223" s="683">
        <f t="shared" si="83"/>
        <v>55518</v>
      </c>
      <c r="BA223" s="683">
        <f t="shared" si="83"/>
        <v>55884</v>
      </c>
      <c r="BB223" s="683">
        <f t="shared" si="83"/>
        <v>56249</v>
      </c>
      <c r="BC223" s="683">
        <f t="shared" si="83"/>
        <v>56614</v>
      </c>
      <c r="BD223" s="683">
        <f t="shared" si="83"/>
        <v>56979</v>
      </c>
      <c r="BE223" s="683">
        <f t="shared" si="83"/>
        <v>57345</v>
      </c>
      <c r="BF223" s="683">
        <f t="shared" si="83"/>
        <v>57710</v>
      </c>
      <c r="BG223" s="683">
        <f t="shared" si="83"/>
        <v>58075</v>
      </c>
      <c r="BH223" s="683">
        <f t="shared" si="83"/>
        <v>58440</v>
      </c>
      <c r="BI223" s="683">
        <f t="shared" si="83"/>
        <v>58806</v>
      </c>
    </row>
    <row r="224" spans="1:61">
      <c r="A224" s="6" t="str">
        <f t="array" ref="A224:A228">TRANSPOSE(P207:T207)</f>
        <v>55-59 dB</v>
      </c>
      <c r="B224" s="500"/>
      <c r="C224" s="396"/>
      <c r="D224" s="396"/>
      <c r="E224" s="396"/>
      <c r="F224" s="396"/>
      <c r="G224" s="396"/>
      <c r="H224" s="396"/>
      <c r="I224" s="396"/>
      <c r="J224" s="396"/>
      <c r="K224" s="396"/>
      <c r="L224" s="396"/>
      <c r="M224" s="396"/>
      <c r="N224" s="396"/>
      <c r="O224" s="396"/>
      <c r="P224" s="432"/>
      <c r="Q224" s="501">
        <f t="array" ref="Q224:Q228">TRANSPOSE(P210:T210)</f>
        <v>349.09141628149587</v>
      </c>
      <c r="R224" s="502">
        <f>Q224*Indeksacja!R$61</f>
        <v>369.74624374286759</v>
      </c>
      <c r="S224" s="393">
        <f>R224*Indeksacja!S$61</f>
        <v>391.90029617725759</v>
      </c>
      <c r="T224" s="393">
        <f>S224*Indeksacja!T$61</f>
        <v>415.99956257999304</v>
      </c>
      <c r="U224" s="393">
        <f>T224*Indeksacja!U$61</f>
        <v>422.54975473442829</v>
      </c>
      <c r="V224" s="393">
        <f>U224*Indeksacja!V$61</f>
        <v>465.16291623554542</v>
      </c>
      <c r="W224" s="393">
        <f>V224*Indeksacja!W$61</f>
        <v>480.0450113994325</v>
      </c>
      <c r="X224" s="393">
        <f>W224*Indeksacja!X$61</f>
        <v>493.15812665530768</v>
      </c>
      <c r="Y224" s="393">
        <f>X224*Indeksacja!Y$61</f>
        <v>505.90974114618729</v>
      </c>
      <c r="Z224" s="393">
        <f>Y224*Indeksacja!Z$61</f>
        <v>519.47178577578222</v>
      </c>
      <c r="AA224" s="393">
        <f>Z224*Indeksacja!AA$61</f>
        <v>533.05841702444627</v>
      </c>
      <c r="AB224" s="393">
        <f>AA224*Indeksacja!AB$61</f>
        <v>547.08055109271288</v>
      </c>
      <c r="AC224" s="393">
        <f>AB224*Indeksacja!AC$61</f>
        <v>561.11428021696975</v>
      </c>
      <c r="AD224" s="393">
        <f>AC224*Indeksacja!AD$61</f>
        <v>575.13949062401832</v>
      </c>
      <c r="AE224" s="393">
        <f>AD224*Indeksacja!AE$61</f>
        <v>589.1347947843758</v>
      </c>
      <c r="AF224" s="393">
        <f>AE224*Indeksacja!AF$61</f>
        <v>603.5639903979901</v>
      </c>
      <c r="AG224" s="393">
        <f>AF224*Indeksacja!AG$61</f>
        <v>617.95179806150361</v>
      </c>
      <c r="AH224" s="393">
        <f>AG224*Indeksacja!AH$61</f>
        <v>632.76780086305757</v>
      </c>
      <c r="AI224" s="393">
        <f>AH224*Indeksacja!AI$61</f>
        <v>647.510145706206</v>
      </c>
      <c r="AJ224" s="393">
        <f>AI224*Indeksacja!AJ$61</f>
        <v>662.14675649332071</v>
      </c>
      <c r="AK224" s="393">
        <f>AJ224*Indeksacja!AK$61</f>
        <v>676.65424912656533</v>
      </c>
      <c r="AL224" s="393">
        <f>AK224*Indeksacja!AL$61</f>
        <v>691.0006244383618</v>
      </c>
      <c r="AM224" s="393">
        <f>AL224*Indeksacja!AM$61</f>
        <v>705.15337729063401</v>
      </c>
      <c r="AN224" s="393">
        <f>AM224*Indeksacja!AN$61</f>
        <v>719.07865994601252</v>
      </c>
      <c r="AO224" s="393">
        <f>AN224*Indeksacja!AO$61</f>
        <v>733.32485563363764</v>
      </c>
      <c r="AP224" s="393">
        <f>AO224*Indeksacja!AP$61</f>
        <v>746.71070717967791</v>
      </c>
      <c r="AQ224" s="393">
        <f>AP224*Indeksacja!AQ$61</f>
        <v>760.37749482751053</v>
      </c>
      <c r="AR224" s="393">
        <f>AQ224*Indeksacja!AR$61</f>
        <v>774.32585807847443</v>
      </c>
      <c r="AS224" s="393">
        <f>AR224*Indeksacja!AS$61</f>
        <v>787.93995418817315</v>
      </c>
      <c r="AT224" s="393">
        <f>AS224*Indeksacja!AT$61</f>
        <v>801.19004847149029</v>
      </c>
      <c r="AU224" s="393">
        <f>AT224*Indeksacja!AU$61</f>
        <v>814.0467654929829</v>
      </c>
      <c r="AV224" s="393">
        <f>AU224*Indeksacja!AV$61</f>
        <v>827.13847613126995</v>
      </c>
      <c r="AW224" s="393">
        <f>AV224*Indeksacja!AW$61</f>
        <v>840.46300792070872</v>
      </c>
      <c r="AX224" s="393">
        <f>AW224*Indeksacja!AX$61</f>
        <v>854.02274841166036</v>
      </c>
      <c r="AY224" s="393">
        <f>AX224*Indeksacja!AY$61</f>
        <v>867.1294273198971</v>
      </c>
      <c r="AZ224" s="393">
        <f>AY224*Indeksacja!AZ$61</f>
        <v>880.32155218292769</v>
      </c>
      <c r="BA224" s="393">
        <f>AZ224*Indeksacja!BA$61</f>
        <v>893.71437621832945</v>
      </c>
      <c r="BB224" s="393">
        <f>BA224*Indeksacja!BB$61</f>
        <v>907.31095277483951</v>
      </c>
      <c r="BC224" s="393">
        <f>BB224*Indeksacja!BC$61</f>
        <v>921.11438165349659</v>
      </c>
      <c r="BD224" s="393">
        <f>BC224*Indeksacja!BD$61</f>
        <v>935.12780981434628</v>
      </c>
      <c r="BE224" s="393">
        <f>BD224*Indeksacja!BE$61</f>
        <v>950.10623571335543</v>
      </c>
      <c r="BF224" s="393">
        <f>BE224*Indeksacja!BF$61</f>
        <v>965.32457880877075</v>
      </c>
      <c r="BG224" s="393">
        <f>BF224*Indeksacja!BG$61</f>
        <v>980.78668197844331</v>
      </c>
      <c r="BH224" s="393">
        <f>BG224*Indeksacja!BH$61</f>
        <v>997.28496109522041</v>
      </c>
      <c r="BI224" s="393">
        <f>BH224*Indeksacja!BI$61</f>
        <v>1014.0607656095345</v>
      </c>
    </row>
    <row r="225" spans="1:61">
      <c r="A225" s="6" t="str">
        <v>60-64 dB</v>
      </c>
      <c r="B225" s="500"/>
      <c r="C225" s="396"/>
      <c r="D225" s="396"/>
      <c r="E225" s="396"/>
      <c r="F225" s="396"/>
      <c r="G225" s="396"/>
      <c r="H225" s="396"/>
      <c r="I225" s="396"/>
      <c r="J225" s="396"/>
      <c r="K225" s="396"/>
      <c r="L225" s="396"/>
      <c r="M225" s="396"/>
      <c r="N225" s="396"/>
      <c r="O225" s="396"/>
      <c r="P225" s="432"/>
      <c r="Q225" s="501">
        <v>742.36060257951044</v>
      </c>
      <c r="R225" s="502">
        <f>Q225*Indeksacja!R$61</f>
        <v>786.28414078543256</v>
      </c>
      <c r="S225" s="393">
        <f>R225*Indeksacja!S$61</f>
        <v>833.39585693691208</v>
      </c>
      <c r="T225" s="393">
        <f>S225*Indeksacja!T$61</f>
        <v>884.64416925299793</v>
      </c>
      <c r="U225" s="393">
        <f>T225*Indeksacja!U$61</f>
        <v>898.57348509402993</v>
      </c>
      <c r="V225" s="393">
        <f>U225*Indeksacja!V$61</f>
        <v>989.19253435841631</v>
      </c>
      <c r="W225" s="393">
        <f>V225*Indeksacja!W$61</f>
        <v>1020.8400645417428</v>
      </c>
      <c r="X225" s="393">
        <f>W225*Indeksacja!X$61</f>
        <v>1048.7257692283238</v>
      </c>
      <c r="Y225" s="393">
        <f>X225*Indeksacja!Y$61</f>
        <v>1075.8427242028847</v>
      </c>
      <c r="Z225" s="393">
        <f>Y225*Indeksacja!Z$61</f>
        <v>1104.6830999723015</v>
      </c>
      <c r="AA225" s="393">
        <f>Z225*Indeksacja!AA$61</f>
        <v>1133.5757604341982</v>
      </c>
      <c r="AB225" s="393">
        <f>AA225*Indeksacja!AB$61</f>
        <v>1163.3945397306081</v>
      </c>
      <c r="AC225" s="393">
        <f>AB225*Indeksacja!AC$61</f>
        <v>1193.2379765016806</v>
      </c>
      <c r="AD225" s="393">
        <f>AC225*Indeksacja!AD$61</f>
        <v>1223.0632977885416</v>
      </c>
      <c r="AE225" s="393">
        <f>AD225*Indeksacja!AE$61</f>
        <v>1252.8250219249744</v>
      </c>
      <c r="AF225" s="393">
        <f>AE225*Indeksacja!AF$61</f>
        <v>1283.5094382436582</v>
      </c>
      <c r="AG225" s="393">
        <f>AF225*Indeksacja!AG$61</f>
        <v>1314.105840987263</v>
      </c>
      <c r="AH225" s="393">
        <f>AG225*Indeksacja!AH$61</f>
        <v>1345.6128224098948</v>
      </c>
      <c r="AI225" s="393">
        <f>AH225*Indeksacja!AI$61</f>
        <v>1376.9631664480582</v>
      </c>
      <c r="AJ225" s="393">
        <f>AI225*Indeksacja!AJ$61</f>
        <v>1408.0886616532525</v>
      </c>
      <c r="AK225" s="393">
        <f>AJ225*Indeksacja!AK$61</f>
        <v>1438.9395805553916</v>
      </c>
      <c r="AL225" s="393">
        <f>AK225*Indeksacja!AL$61</f>
        <v>1469.4478753016281</v>
      </c>
      <c r="AM225" s="393">
        <f>AL225*Indeksacja!AM$61</f>
        <v>1499.5444220671882</v>
      </c>
      <c r="AN225" s="393">
        <f>AM225*Indeksacja!AN$61</f>
        <v>1529.1572419218044</v>
      </c>
      <c r="AO225" s="393">
        <f>AN225*Indeksacja!AO$61</f>
        <v>1559.452499616147</v>
      </c>
      <c r="AP225" s="393">
        <f>AO225*Indeksacja!AP$61</f>
        <v>1587.9181918569018</v>
      </c>
      <c r="AQ225" s="393">
        <f>AP225*Indeksacja!AQ$61</f>
        <v>1616.9813089671491</v>
      </c>
      <c r="AR225" s="393">
        <f>AQ225*Indeksacja!AR$61</f>
        <v>1646.6432108789215</v>
      </c>
      <c r="AS225" s="393">
        <f>AR225*Indeksacja!AS$61</f>
        <v>1675.5942767608215</v>
      </c>
      <c r="AT225" s="393">
        <f>AS225*Indeksacja!AT$61</f>
        <v>1703.7712742968106</v>
      </c>
      <c r="AU225" s="393">
        <f>AT225*Indeksacja!AU$61</f>
        <v>1731.1117351335024</v>
      </c>
      <c r="AV225" s="393">
        <f>AU225*Indeksacja!AV$61</f>
        <v>1758.9519218151436</v>
      </c>
      <c r="AW225" s="393">
        <f>AV225*Indeksacja!AW$61</f>
        <v>1787.287214483358</v>
      </c>
      <c r="AX225" s="393">
        <f>AW225*Indeksacja!AX$61</f>
        <v>1816.1226903850845</v>
      </c>
      <c r="AY225" s="393">
        <f>AX225*Indeksacja!AY$61</f>
        <v>1843.9947078519617</v>
      </c>
      <c r="AZ225" s="393">
        <f>AY225*Indeksacja!AZ$61</f>
        <v>1872.0484304755123</v>
      </c>
      <c r="BA225" s="393">
        <f>AZ225*Indeksacja!BA$61</f>
        <v>1900.5289500685378</v>
      </c>
      <c r="BB225" s="393">
        <f>BA225*Indeksacja!BB$61</f>
        <v>1929.4427597319932</v>
      </c>
      <c r="BC225" s="393">
        <f>BB225*Indeksacja!BC$61</f>
        <v>1958.7964513500087</v>
      </c>
      <c r="BD225" s="393">
        <f>BC225*Indeksacja!BD$61</f>
        <v>1988.5967170927345</v>
      </c>
      <c r="BE225" s="393">
        <f>BD225*Indeksacja!BE$61</f>
        <v>2020.4490994701764</v>
      </c>
      <c r="BF225" s="393">
        <f>BE225*Indeksacja!BF$61</f>
        <v>2052.8116779343354</v>
      </c>
      <c r="BG225" s="393">
        <f>BF225*Indeksacja!BG$61</f>
        <v>2085.6926245598715</v>
      </c>
      <c r="BH225" s="393">
        <f>BG225*Indeksacja!BH$61</f>
        <v>2120.7770518915922</v>
      </c>
      <c r="BI225" s="393">
        <f>BH225*Indeksacja!BI$61</f>
        <v>2156.4516510572162</v>
      </c>
    </row>
    <row r="226" spans="1:61">
      <c r="A226" s="6" t="str">
        <v>65-69 dB</v>
      </c>
      <c r="B226" s="500"/>
      <c r="C226" s="396"/>
      <c r="D226" s="396"/>
      <c r="E226" s="396"/>
      <c r="F226" s="396"/>
      <c r="G226" s="396"/>
      <c r="H226" s="396"/>
      <c r="I226" s="396"/>
      <c r="J226" s="396"/>
      <c r="K226" s="396"/>
      <c r="L226" s="396"/>
      <c r="M226" s="396"/>
      <c r="N226" s="396"/>
      <c r="O226" s="396"/>
      <c r="P226" s="432"/>
      <c r="Q226" s="501">
        <v>1278.2812696897008</v>
      </c>
      <c r="R226" s="502">
        <f>Q226*Indeksacja!R$61</f>
        <v>1353.913834230485</v>
      </c>
      <c r="S226" s="393">
        <f>R226*Indeksacja!S$61</f>
        <v>1435.0361676761422</v>
      </c>
      <c r="T226" s="393">
        <f>S226*Indeksacja!T$61</f>
        <v>1523.2813648340075</v>
      </c>
      <c r="U226" s="393">
        <f>T226*Indeksacja!U$61</f>
        <v>1547.2664517005701</v>
      </c>
      <c r="V226" s="393">
        <f>U226*Indeksacja!V$61</f>
        <v>1703.3046802235428</v>
      </c>
      <c r="W226" s="393">
        <f>V226*Indeksacja!W$61</f>
        <v>1757.7990121219718</v>
      </c>
      <c r="X226" s="393">
        <f>W226*Indeksacja!X$61</f>
        <v>1805.8158032462513</v>
      </c>
      <c r="Y226" s="393">
        <f>X226*Indeksacja!Y$61</f>
        <v>1852.5088733183361</v>
      </c>
      <c r="Z226" s="393">
        <f>Y226*Indeksacja!Z$61</f>
        <v>1902.1695261449518</v>
      </c>
      <c r="AA226" s="393">
        <f>Z226*Indeksacja!AA$61</f>
        <v>1951.9202087264548</v>
      </c>
      <c r="AB226" s="393">
        <f>AA226*Indeksacja!AB$61</f>
        <v>2003.265588488212</v>
      </c>
      <c r="AC226" s="393">
        <f>AB226*Indeksacja!AC$61</f>
        <v>2054.6534263059457</v>
      </c>
      <c r="AD226" s="393">
        <f>AC226*Indeksacja!AD$61</f>
        <v>2106.0100708140149</v>
      </c>
      <c r="AE226" s="393">
        <f>AD226*Indeksacja!AE$61</f>
        <v>2157.2572064851179</v>
      </c>
      <c r="AF226" s="393">
        <f>AE226*Indeksacja!AF$61</f>
        <v>2210.0931389352554</v>
      </c>
      <c r="AG226" s="393">
        <f>AF226*Indeksacja!AG$61</f>
        <v>2262.7775195598906</v>
      </c>
      <c r="AH226" s="393">
        <f>AG226*Indeksacja!AH$61</f>
        <v>2317.0298385502401</v>
      </c>
      <c r="AI226" s="393">
        <f>AH226*Indeksacja!AI$61</f>
        <v>2371.0124414026327</v>
      </c>
      <c r="AJ226" s="393">
        <f>AI226*Indeksacja!AJ$61</f>
        <v>2424.6078738546871</v>
      </c>
      <c r="AK226" s="393">
        <f>AJ226*Indeksacja!AK$61</f>
        <v>2477.7305094690905</v>
      </c>
      <c r="AL226" s="393">
        <f>AK226*Indeksacja!AL$61</f>
        <v>2530.263175681142</v>
      </c>
      <c r="AM226" s="393">
        <f>AL226*Indeksacja!AM$61</f>
        <v>2582.086847194792</v>
      </c>
      <c r="AN226" s="393">
        <f>AM226*Indeksacja!AN$61</f>
        <v>2633.0775824672728</v>
      </c>
      <c r="AO226" s="393">
        <f>AN226*Indeksacja!AO$61</f>
        <v>2685.2434171526515</v>
      </c>
      <c r="AP226" s="393">
        <f>AO226*Indeksacja!AP$61</f>
        <v>2734.2588970874331</v>
      </c>
      <c r="AQ226" s="393">
        <f>AP226*Indeksacja!AQ$61</f>
        <v>2784.3030913937282</v>
      </c>
      <c r="AR226" s="393">
        <f>AQ226*Indeksacja!AR$61</f>
        <v>2835.378341757827</v>
      </c>
      <c r="AS226" s="393">
        <f>AR226*Indeksacja!AS$61</f>
        <v>2885.2295934619092</v>
      </c>
      <c r="AT226" s="393">
        <f>AS226*Indeksacja!AT$61</f>
        <v>2933.7479658825282</v>
      </c>
      <c r="AU226" s="393">
        <f>AT226*Indeksacja!AU$61</f>
        <v>2980.8258938743825</v>
      </c>
      <c r="AV226" s="393">
        <f>AU226*Indeksacja!AV$61</f>
        <v>3028.7643068991965</v>
      </c>
      <c r="AW226" s="393">
        <f>AV226*Indeksacja!AW$61</f>
        <v>3077.5552499571895</v>
      </c>
      <c r="AX226" s="393">
        <f>AW226*Indeksacja!AX$61</f>
        <v>3127.2074656320078</v>
      </c>
      <c r="AY226" s="393">
        <f>AX226*Indeksacja!AY$61</f>
        <v>3175.2006885381998</v>
      </c>
      <c r="AZ226" s="393">
        <f>AY226*Indeksacja!AZ$61</f>
        <v>3223.506792135493</v>
      </c>
      <c r="BA226" s="393">
        <f>AZ226*Indeksacja!BA$61</f>
        <v>3272.5478034988296</v>
      </c>
      <c r="BB226" s="393">
        <f>BA226*Indeksacja!BB$61</f>
        <v>3322.3349031910029</v>
      </c>
      <c r="BC226" s="393">
        <f>BB226*Indeksacja!BC$61</f>
        <v>3372.8794418709608</v>
      </c>
      <c r="BD226" s="393">
        <f>BC226*Indeksacja!BD$61</f>
        <v>3424.1929428815724</v>
      </c>
      <c r="BE226" s="393">
        <f>BD226*Indeksacja!BE$61</f>
        <v>3479.0400126837681</v>
      </c>
      <c r="BF226" s="393">
        <f>BE226*Indeksacja!BF$61</f>
        <v>3534.765596376993</v>
      </c>
      <c r="BG226" s="393">
        <f>BF226*Indeksacja!BG$61</f>
        <v>3591.3837655727216</v>
      </c>
      <c r="BH226" s="393">
        <f>BG226*Indeksacja!BH$61</f>
        <v>3651.7961395054081</v>
      </c>
      <c r="BI226" s="393">
        <f>BH226*Indeksacja!BI$61</f>
        <v>3713.2247387045695</v>
      </c>
    </row>
    <row r="227" spans="1:61">
      <c r="A227" s="6" t="str">
        <v>70-74 dB</v>
      </c>
      <c r="B227" s="500"/>
      <c r="C227" s="396"/>
      <c r="D227" s="396"/>
      <c r="E227" s="396"/>
      <c r="F227" s="396"/>
      <c r="G227" s="396"/>
      <c r="H227" s="396"/>
      <c r="I227" s="396"/>
      <c r="J227" s="396"/>
      <c r="K227" s="396"/>
      <c r="L227" s="396"/>
      <c r="M227" s="396"/>
      <c r="N227" s="396"/>
      <c r="O227" s="396"/>
      <c r="P227" s="432"/>
      <c r="Q227" s="501">
        <v>2056.1785366827144</v>
      </c>
      <c r="R227" s="502">
        <f>Q227*Indeksacja!R$61</f>
        <v>2177.8372510600134</v>
      </c>
      <c r="S227" s="393">
        <f>R227*Indeksacja!S$61</f>
        <v>2308.3265297749158</v>
      </c>
      <c r="T227" s="393">
        <f>S227*Indeksacja!T$61</f>
        <v>2450.2732864581167</v>
      </c>
      <c r="U227" s="393">
        <f>T227*Indeksacja!U$61</f>
        <v>2488.8544829325579</v>
      </c>
      <c r="V227" s="393">
        <f>U227*Indeksacja!V$61</f>
        <v>2739.8496778076365</v>
      </c>
      <c r="W227" s="393">
        <f>V227*Indeksacja!W$61</f>
        <v>2827.5065012918872</v>
      </c>
      <c r="X227" s="393">
        <f>W227*Indeksacja!X$61</f>
        <v>2904.7438806161476</v>
      </c>
      <c r="Y227" s="393">
        <f>X227*Indeksacja!Y$61</f>
        <v>2979.8519892700033</v>
      </c>
      <c r="Z227" s="393">
        <f>Y227*Indeksacja!Z$61</f>
        <v>3059.7336013071777</v>
      </c>
      <c r="AA227" s="393">
        <f>Z227*Indeksacja!AA$61</f>
        <v>3139.7600306502541</v>
      </c>
      <c r="AB227" s="393">
        <f>AA227*Indeksacja!AB$61</f>
        <v>3222.351609145006</v>
      </c>
      <c r="AC227" s="393">
        <f>AB227*Indeksacja!AC$61</f>
        <v>3305.0114835191375</v>
      </c>
      <c r="AD227" s="393">
        <f>AC227*Indeksacja!AD$61</f>
        <v>3387.6211819145228</v>
      </c>
      <c r="AE227" s="393">
        <f>AD227*Indeksacja!AE$61</f>
        <v>3470.0547299387131</v>
      </c>
      <c r="AF227" s="393">
        <f>AE227*Indeksacja!AF$61</f>
        <v>3555.0439360278883</v>
      </c>
      <c r="AG227" s="393">
        <f>AF227*Indeksacja!AG$61</f>
        <v>3639.7893635229607</v>
      </c>
      <c r="AH227" s="393">
        <f>AG227*Indeksacja!AH$61</f>
        <v>3727.0568972953201</v>
      </c>
      <c r="AI227" s="393">
        <f>AH227*Indeksacja!AI$61</f>
        <v>3813.8905793427002</v>
      </c>
      <c r="AJ227" s="393">
        <f>AI227*Indeksacja!AJ$61</f>
        <v>3900.1014786848255</v>
      </c>
      <c r="AK227" s="393">
        <f>AJ227*Indeksacja!AK$61</f>
        <v>3985.5518609695227</v>
      </c>
      <c r="AL227" s="393">
        <f>AK227*Indeksacja!AL$61</f>
        <v>4070.0532483411444</v>
      </c>
      <c r="AM227" s="393">
        <f>AL227*Indeksacja!AM$61</f>
        <v>4153.41418273419</v>
      </c>
      <c r="AN227" s="393">
        <f>AM227*Indeksacja!AN$61</f>
        <v>4235.4352980575777</v>
      </c>
      <c r="AO227" s="393">
        <f>AN227*Indeksacja!AO$61</f>
        <v>4319.3466188064549</v>
      </c>
      <c r="AP227" s="393">
        <f>AO227*Indeksacja!AP$61</f>
        <v>4398.190438392081</v>
      </c>
      <c r="AQ227" s="393">
        <f>AP227*Indeksacja!AQ$61</f>
        <v>4478.6889958364545</v>
      </c>
      <c r="AR227" s="393">
        <f>AQ227*Indeksacja!AR$61</f>
        <v>4560.8460578575932</v>
      </c>
      <c r="AS227" s="393">
        <f>AR227*Indeksacja!AS$61</f>
        <v>4641.0342575998793</v>
      </c>
      <c r="AT227" s="393">
        <f>AS227*Indeksacja!AT$61</f>
        <v>4719.0784552045834</v>
      </c>
      <c r="AU227" s="393">
        <f>AT227*Indeksacja!AU$61</f>
        <v>4794.8056268245227</v>
      </c>
      <c r="AV227" s="393">
        <f>AU227*Indeksacja!AV$61</f>
        <v>4871.9169311059204</v>
      </c>
      <c r="AW227" s="393">
        <f>AV227*Indeksacja!AW$61</f>
        <v>4950.3995720388557</v>
      </c>
      <c r="AX227" s="393">
        <f>AW227*Indeksacja!AX$61</f>
        <v>5030.2676125007838</v>
      </c>
      <c r="AY227" s="393">
        <f>AX227*Indeksacja!AY$61</f>
        <v>5107.4670811825836</v>
      </c>
      <c r="AZ227" s="393">
        <f>AY227*Indeksacja!AZ$61</f>
        <v>5185.1698339043196</v>
      </c>
      <c r="BA227" s="393">
        <f>AZ227*Indeksacja!BA$61</f>
        <v>5264.0547220533754</v>
      </c>
      <c r="BB227" s="393">
        <f>BA227*Indeksacja!BB$61</f>
        <v>5344.1397301170391</v>
      </c>
      <c r="BC227" s="393">
        <f>BB227*Indeksacja!BC$61</f>
        <v>5425.4431161906587</v>
      </c>
      <c r="BD227" s="393">
        <f>BC227*Indeksacja!BD$61</f>
        <v>5507.9834161401977</v>
      </c>
      <c r="BE227" s="393">
        <f>BD227*Indeksacja!BE$61</f>
        <v>5596.2076359588837</v>
      </c>
      <c r="BF227" s="393">
        <f>BE227*Indeksacja!BF$61</f>
        <v>5685.844988747398</v>
      </c>
      <c r="BG227" s="393">
        <f>BF227*Indeksacja!BG$61</f>
        <v>5776.9181093875741</v>
      </c>
      <c r="BH227" s="393">
        <f>BG227*Indeksacja!BH$61</f>
        <v>5874.0943956837773</v>
      </c>
      <c r="BI227" s="393">
        <f>BH227*Indeksacja!BI$61</f>
        <v>5972.905330496631</v>
      </c>
    </row>
    <row r="228" spans="1:61">
      <c r="A228" s="6" t="str">
        <v>&gt; 75 dB</v>
      </c>
      <c r="B228" s="500"/>
      <c r="C228" s="396"/>
      <c r="D228" s="396"/>
      <c r="E228" s="396"/>
      <c r="F228" s="396"/>
      <c r="G228" s="396"/>
      <c r="H228" s="396"/>
      <c r="I228" s="396"/>
      <c r="J228" s="396"/>
      <c r="K228" s="396"/>
      <c r="L228" s="396"/>
      <c r="M228" s="396"/>
      <c r="N228" s="396"/>
      <c r="O228" s="396"/>
      <c r="P228" s="432"/>
      <c r="Q228" s="501">
        <v>2608.2251849998042</v>
      </c>
      <c r="R228" s="502">
        <f>Q228*Indeksacja!R$61</f>
        <v>2762.5470579075427</v>
      </c>
      <c r="S228" s="393">
        <f>R228*Indeksacja!S$61</f>
        <v>2928.0703415353132</v>
      </c>
      <c r="T228" s="393">
        <f>S228*Indeksacja!T$61</f>
        <v>3108.1272281845941</v>
      </c>
      <c r="U228" s="393">
        <f>T228*Indeksacja!U$61</f>
        <v>3157.0667762427161</v>
      </c>
      <c r="V228" s="393">
        <f>U228*Indeksacja!V$61</f>
        <v>3475.4496291457913</v>
      </c>
      <c r="W228" s="393">
        <f>V228*Indeksacja!W$61</f>
        <v>3586.6407200797321</v>
      </c>
      <c r="X228" s="393">
        <f>W228*Indeksacja!X$61</f>
        <v>3684.6149350532664</v>
      </c>
      <c r="Y228" s="393">
        <f>X228*Indeksacja!Y$61</f>
        <v>3779.8882087956995</v>
      </c>
      <c r="Z228" s="393">
        <f>Y228*Indeksacja!Z$61</f>
        <v>3881.2165850124243</v>
      </c>
      <c r="AA228" s="393">
        <f>Z228*Indeksacja!AA$61</f>
        <v>3982.7286593554259</v>
      </c>
      <c r="AB228" s="393">
        <f>AA228*Indeksacja!AB$61</f>
        <v>4087.4945788783671</v>
      </c>
      <c r="AC228" s="393">
        <f>AB228*Indeksacja!AC$61</f>
        <v>4192.3471304857558</v>
      </c>
      <c r="AD228" s="393">
        <f>AC228*Indeksacja!AD$61</f>
        <v>4297.1360347740456</v>
      </c>
      <c r="AE228" s="393">
        <f>AD228*Indeksacja!AE$61</f>
        <v>4401.7014955109607</v>
      </c>
      <c r="AF228" s="393">
        <f>AE228*Indeksacja!AF$61</f>
        <v>4509.5087621564699</v>
      </c>
      <c r="AG228" s="393">
        <f>AF228*Indeksacja!AG$61</f>
        <v>4617.0068000762822</v>
      </c>
      <c r="AH228" s="393">
        <f>AG228*Indeksacja!AH$61</f>
        <v>4727.7040840704549</v>
      </c>
      <c r="AI228" s="393">
        <f>AH228*Indeksacja!AI$61</f>
        <v>4837.8510350193892</v>
      </c>
      <c r="AJ228" s="393">
        <f>AI228*Indeksacja!AJ$61</f>
        <v>4947.2079974008666</v>
      </c>
      <c r="AK228" s="393">
        <f>AJ228*Indeksacja!AK$61</f>
        <v>5055.6002576869687</v>
      </c>
      <c r="AL228" s="393">
        <f>AK228*Indeksacja!AL$61</f>
        <v>5162.7887351358495</v>
      </c>
      <c r="AM228" s="393">
        <f>AL228*Indeksacja!AM$61</f>
        <v>5268.5305686635129</v>
      </c>
      <c r="AN228" s="393">
        <f>AM228*Indeksacja!AN$61</f>
        <v>5372.5728659989236</v>
      </c>
      <c r="AO228" s="393">
        <f>AN228*Indeksacja!AO$61</f>
        <v>5479.0128546377073</v>
      </c>
      <c r="AP228" s="393">
        <f>AO228*Indeksacja!AP$61</f>
        <v>5579.0248099500022</v>
      </c>
      <c r="AQ228" s="393">
        <f>AP228*Indeksacja!AQ$61</f>
        <v>5681.1357702274599</v>
      </c>
      <c r="AR228" s="393">
        <f>AQ228*Indeksacja!AR$61</f>
        <v>5785.350513483575</v>
      </c>
      <c r="AS228" s="393">
        <f>AR228*Indeksacja!AS$61</f>
        <v>5887.0677906442688</v>
      </c>
      <c r="AT228" s="393">
        <f>AS228*Indeksacja!AT$61</f>
        <v>5986.0654399749028</v>
      </c>
      <c r="AU228" s="393">
        <f>AT228*Indeksacja!AU$61</f>
        <v>6082.1239838631109</v>
      </c>
      <c r="AV228" s="393">
        <f>AU228*Indeksacja!AV$61</f>
        <v>6179.9382749311435</v>
      </c>
      <c r="AW228" s="393">
        <f>AV228*Indeksacja!AW$61</f>
        <v>6279.4920816724716</v>
      </c>
      <c r="AX228" s="393">
        <f>AW228*Indeksacja!AX$61</f>
        <v>6380.8032425921174</v>
      </c>
      <c r="AY228" s="393">
        <f>AX228*Indeksacja!AY$61</f>
        <v>6478.729368603199</v>
      </c>
      <c r="AZ228" s="393">
        <f>AY228*Indeksacja!AZ$61</f>
        <v>6577.2939012918887</v>
      </c>
      <c r="BA228" s="393">
        <f>AZ228*Indeksacja!BA$61</f>
        <v>6677.3579513321165</v>
      </c>
      <c r="BB228" s="393">
        <f>BA228*Indeksacja!BB$61</f>
        <v>6778.9443317198575</v>
      </c>
      <c r="BC228" s="393">
        <f>BB228*Indeksacja!BC$61</f>
        <v>6882.076202517952</v>
      </c>
      <c r="BD228" s="393">
        <f>BC228*Indeksacja!BD$61</f>
        <v>6986.7770761362272</v>
      </c>
      <c r="BE228" s="393">
        <f>BD228*Indeksacja!BE$61</f>
        <v>7098.6878990306705</v>
      </c>
      <c r="BF228" s="393">
        <f>BE228*Indeksacja!BF$61</f>
        <v>7212.3912554701856</v>
      </c>
      <c r="BG228" s="393">
        <f>BF228*Indeksacja!BG$61</f>
        <v>7327.915857391894</v>
      </c>
      <c r="BH228" s="393">
        <f>BG228*Indeksacja!BH$61</f>
        <v>7451.18221426741</v>
      </c>
      <c r="BI228" s="393">
        <f>BH228*Indeksacja!BI$61</f>
        <v>7576.522093141959</v>
      </c>
    </row>
    <row r="229" spans="1:61"/>
    <row r="230" spans="1:61">
      <c r="A230" s="1" t="s">
        <v>824</v>
      </c>
      <c r="B230" s="694"/>
      <c r="C230" s="694"/>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4"/>
      <c r="AD230" s="694"/>
      <c r="AE230" s="694"/>
      <c r="AF230" s="694"/>
      <c r="AG230" s="694"/>
      <c r="AH230" s="694"/>
      <c r="AI230" s="694"/>
      <c r="AJ230" s="694"/>
      <c r="AK230" s="694"/>
      <c r="AL230" s="694"/>
      <c r="AM230" s="694"/>
      <c r="AN230" s="694"/>
      <c r="AO230" s="694"/>
      <c r="AP230" s="694"/>
      <c r="AQ230" s="694"/>
      <c r="AR230" s="694"/>
      <c r="AS230" s="694"/>
      <c r="AT230" s="694"/>
      <c r="AU230" s="694"/>
      <c r="AV230" s="694"/>
      <c r="AW230" s="694"/>
      <c r="AX230" s="694"/>
      <c r="AY230" s="694"/>
      <c r="AZ230" s="694"/>
      <c r="BA230" s="694"/>
      <c r="BB230" s="694"/>
      <c r="BC230" s="694"/>
      <c r="BD230" s="694"/>
      <c r="BE230" s="694"/>
      <c r="BF230" s="694"/>
      <c r="BG230" s="694"/>
      <c r="BH230" s="694"/>
      <c r="BI230" s="694"/>
    </row>
    <row r="231" spans="1:61">
      <c r="A231" s="724" t="s">
        <v>281</v>
      </c>
      <c r="B231" s="685" t="s">
        <v>328</v>
      </c>
      <c r="C231" s="692"/>
      <c r="D231" s="692"/>
      <c r="E231" s="692"/>
      <c r="F231" s="692"/>
      <c r="G231" s="692"/>
      <c r="H231" s="692"/>
      <c r="I231" s="692"/>
      <c r="J231" s="692"/>
      <c r="K231" s="692"/>
      <c r="L231" s="692"/>
      <c r="M231" s="692"/>
      <c r="N231" s="692"/>
      <c r="O231" s="692"/>
      <c r="P231" s="696"/>
      <c r="Q231" s="6"/>
      <c r="R231" s="6"/>
      <c r="S231" s="6"/>
      <c r="T231" s="6">
        <v>2020</v>
      </c>
      <c r="U231" s="6">
        <f>T231+1</f>
        <v>2021</v>
      </c>
      <c r="V231" s="6">
        <f t="shared" ref="V231" si="84">U231+1</f>
        <v>2022</v>
      </c>
      <c r="W231" s="6">
        <f t="shared" ref="W231" si="85">V231+1</f>
        <v>2023</v>
      </c>
      <c r="X231" s="6">
        <f t="shared" ref="X231" si="86">W231+1</f>
        <v>2024</v>
      </c>
      <c r="Y231" s="6">
        <f t="shared" ref="Y231" si="87">X231+1</f>
        <v>2025</v>
      </c>
      <c r="Z231" s="6">
        <f t="shared" ref="Z231" si="88">Y231+1</f>
        <v>2026</v>
      </c>
      <c r="AA231" s="6">
        <f t="shared" ref="AA231" si="89">Z231+1</f>
        <v>2027</v>
      </c>
      <c r="AB231" s="6">
        <f t="shared" ref="AB231" si="90">AA231+1</f>
        <v>2028</v>
      </c>
      <c r="AC231" s="6">
        <f t="shared" ref="AC231" si="91">AB231+1</f>
        <v>2029</v>
      </c>
      <c r="AD231" s="6">
        <f t="shared" ref="AD231" si="92">AC231+1</f>
        <v>2030</v>
      </c>
      <c r="AE231" s="6">
        <f t="shared" ref="AE231" si="93">AD231+1</f>
        <v>2031</v>
      </c>
      <c r="AF231" s="6">
        <f t="shared" ref="AF231" si="94">AE231+1</f>
        <v>2032</v>
      </c>
      <c r="AG231" s="6">
        <f t="shared" ref="AG231" si="95">AF231+1</f>
        <v>2033</v>
      </c>
      <c r="AH231" s="6">
        <f t="shared" ref="AH231" si="96">AG231+1</f>
        <v>2034</v>
      </c>
      <c r="AI231" s="6">
        <f t="shared" ref="AI231" si="97">AH231+1</f>
        <v>2035</v>
      </c>
      <c r="AJ231" s="6">
        <f t="shared" ref="AJ231" si="98">AI231+1</f>
        <v>2036</v>
      </c>
      <c r="AK231" s="6">
        <f t="shared" ref="AK231" si="99">AJ231+1</f>
        <v>2037</v>
      </c>
      <c r="AL231" s="6">
        <f t="shared" ref="AL231" si="100">AK231+1</f>
        <v>2038</v>
      </c>
      <c r="AM231" s="6">
        <f t="shared" ref="AM231" si="101">AL231+1</f>
        <v>2039</v>
      </c>
      <c r="AN231" s="6">
        <f t="shared" ref="AN231" si="102">AM231+1</f>
        <v>2040</v>
      </c>
      <c r="AO231" s="6">
        <f t="shared" ref="AO231" si="103">AN231+1</f>
        <v>2041</v>
      </c>
      <c r="AP231" s="6">
        <f t="shared" ref="AP231" si="104">AO231+1</f>
        <v>2042</v>
      </c>
      <c r="AQ231" s="6">
        <f t="shared" ref="AQ231" si="105">AP231+1</f>
        <v>2043</v>
      </c>
      <c r="AR231" s="6">
        <f t="shared" ref="AR231" si="106">AQ231+1</f>
        <v>2044</v>
      </c>
      <c r="AS231" s="6">
        <f t="shared" ref="AS231" si="107">AR231+1</f>
        <v>2045</v>
      </c>
      <c r="AT231" s="6">
        <f t="shared" ref="AT231" si="108">AS231+1</f>
        <v>2046</v>
      </c>
      <c r="AU231" s="6">
        <f t="shared" ref="AU231" si="109">AT231+1</f>
        <v>2047</v>
      </c>
      <c r="AV231" s="6">
        <f t="shared" ref="AV231" si="110">AU231+1</f>
        <v>2048</v>
      </c>
      <c r="AW231" s="6">
        <f t="shared" ref="AW231" si="111">AV231+1</f>
        <v>2049</v>
      </c>
      <c r="AX231" s="6">
        <f t="shared" ref="AX231" si="112">AW231+1</f>
        <v>2050</v>
      </c>
      <c r="AY231" s="6">
        <f t="shared" ref="AY231" si="113">AX231+1</f>
        <v>2051</v>
      </c>
      <c r="AZ231" s="6">
        <f t="shared" ref="AZ231" si="114">AY231+1</f>
        <v>2052</v>
      </c>
      <c r="BA231" s="6">
        <f t="shared" ref="BA231" si="115">AZ231+1</f>
        <v>2053</v>
      </c>
      <c r="BB231" s="6">
        <f t="shared" ref="BB231" si="116">BA231+1</f>
        <v>2054</v>
      </c>
      <c r="BC231" s="6">
        <f t="shared" ref="BC231" si="117">BB231+1</f>
        <v>2055</v>
      </c>
      <c r="BD231" s="6">
        <f t="shared" ref="BD231" si="118">BC231+1</f>
        <v>2056</v>
      </c>
      <c r="BE231" s="6">
        <f t="shared" ref="BE231" si="119">BD231+1</f>
        <v>2057</v>
      </c>
      <c r="BF231" s="6">
        <f t="shared" ref="BF231" si="120">BE231+1</f>
        <v>2058</v>
      </c>
      <c r="BG231" s="6">
        <f t="shared" ref="BG231" si="121">BF231+1</f>
        <v>2059</v>
      </c>
      <c r="BH231" s="6">
        <f t="shared" ref="BH231" si="122">BG231+1</f>
        <v>2060</v>
      </c>
      <c r="BI231" s="6">
        <f t="shared" ref="BI231" si="123">BH231+1</f>
        <v>2061</v>
      </c>
    </row>
    <row r="232" spans="1:61">
      <c r="A232" s="726"/>
      <c r="B232" s="686" t="s">
        <v>530</v>
      </c>
      <c r="C232" s="681"/>
      <c r="D232" s="681"/>
      <c r="E232" s="681"/>
      <c r="F232" s="681"/>
      <c r="G232" s="681"/>
      <c r="H232" s="681"/>
      <c r="I232" s="681"/>
      <c r="J232" s="681"/>
      <c r="K232" s="681"/>
      <c r="L232" s="681"/>
      <c r="M232" s="681"/>
      <c r="N232" s="681"/>
      <c r="O232" s="681"/>
      <c r="P232" s="687"/>
      <c r="Q232" s="683">
        <f>DATE(2016,12,31)</f>
        <v>42735</v>
      </c>
      <c r="R232" s="683">
        <f>DATE(YEAR(Q232+1),12,31)</f>
        <v>43100</v>
      </c>
      <c r="S232" s="683">
        <f t="shared" ref="S232" si="124">DATE(YEAR(R232+1),12,31)</f>
        <v>43465</v>
      </c>
      <c r="T232" s="683">
        <f>DATE(YEAR(S232+1),12,31)</f>
        <v>43830</v>
      </c>
      <c r="U232" s="683">
        <f t="shared" ref="U232" si="125">DATE(YEAR(T232+1),12,31)</f>
        <v>44196</v>
      </c>
      <c r="V232" s="683">
        <f t="shared" ref="V232" si="126">DATE(YEAR(U232+1),12,31)</f>
        <v>44561</v>
      </c>
      <c r="W232" s="683">
        <f t="shared" ref="W232" si="127">DATE(YEAR(V232+1),12,31)</f>
        <v>44926</v>
      </c>
      <c r="X232" s="683">
        <f t="shared" ref="X232" si="128">DATE(YEAR(W232+1),12,31)</f>
        <v>45291</v>
      </c>
      <c r="Y232" s="683">
        <f t="shared" ref="Y232" si="129">DATE(YEAR(X232+1),12,31)</f>
        <v>45657</v>
      </c>
      <c r="Z232" s="683">
        <f t="shared" ref="Z232" si="130">DATE(YEAR(Y232+1),12,31)</f>
        <v>46022</v>
      </c>
      <c r="AA232" s="683">
        <f t="shared" ref="AA232" si="131">DATE(YEAR(Z232+1),12,31)</f>
        <v>46387</v>
      </c>
      <c r="AB232" s="683">
        <f t="shared" ref="AB232" si="132">DATE(YEAR(AA232+1),12,31)</f>
        <v>46752</v>
      </c>
      <c r="AC232" s="683">
        <f t="shared" ref="AC232" si="133">DATE(YEAR(AB232+1),12,31)</f>
        <v>47118</v>
      </c>
      <c r="AD232" s="683">
        <f t="shared" ref="AD232" si="134">DATE(YEAR(AC232+1),12,31)</f>
        <v>47483</v>
      </c>
      <c r="AE232" s="683">
        <f t="shared" ref="AE232" si="135">DATE(YEAR(AD232+1),12,31)</f>
        <v>47848</v>
      </c>
      <c r="AF232" s="683">
        <f t="shared" ref="AF232" si="136">DATE(YEAR(AE232+1),12,31)</f>
        <v>48213</v>
      </c>
      <c r="AG232" s="683">
        <f t="shared" ref="AG232" si="137">DATE(YEAR(AF232+1),12,31)</f>
        <v>48579</v>
      </c>
      <c r="AH232" s="683">
        <f t="shared" ref="AH232" si="138">DATE(YEAR(AG232+1),12,31)</f>
        <v>48944</v>
      </c>
      <c r="AI232" s="683">
        <f t="shared" ref="AI232" si="139">DATE(YEAR(AH232+1),12,31)</f>
        <v>49309</v>
      </c>
      <c r="AJ232" s="683">
        <f t="shared" ref="AJ232" si="140">DATE(YEAR(AI232+1),12,31)</f>
        <v>49674</v>
      </c>
      <c r="AK232" s="683">
        <f t="shared" ref="AK232" si="141">DATE(YEAR(AJ232+1),12,31)</f>
        <v>50040</v>
      </c>
      <c r="AL232" s="683">
        <f t="shared" ref="AL232" si="142">DATE(YEAR(AK232+1),12,31)</f>
        <v>50405</v>
      </c>
      <c r="AM232" s="683">
        <f t="shared" ref="AM232" si="143">DATE(YEAR(AL232+1),12,31)</f>
        <v>50770</v>
      </c>
      <c r="AN232" s="683">
        <f t="shared" ref="AN232" si="144">DATE(YEAR(AM232+1),12,31)</f>
        <v>51135</v>
      </c>
      <c r="AO232" s="683">
        <f t="shared" ref="AO232" si="145">DATE(YEAR(AN232+1),12,31)</f>
        <v>51501</v>
      </c>
      <c r="AP232" s="683">
        <f t="shared" ref="AP232" si="146">DATE(YEAR(AO232+1),12,31)</f>
        <v>51866</v>
      </c>
      <c r="AQ232" s="683">
        <f t="shared" ref="AQ232" si="147">DATE(YEAR(AP232+1),12,31)</f>
        <v>52231</v>
      </c>
      <c r="AR232" s="683">
        <f t="shared" ref="AR232" si="148">DATE(YEAR(AQ232+1),12,31)</f>
        <v>52596</v>
      </c>
      <c r="AS232" s="683">
        <f t="shared" ref="AS232" si="149">DATE(YEAR(AR232+1),12,31)</f>
        <v>52962</v>
      </c>
      <c r="AT232" s="683">
        <f t="shared" ref="AT232" si="150">DATE(YEAR(AS232+1),12,31)</f>
        <v>53327</v>
      </c>
      <c r="AU232" s="683">
        <f t="shared" ref="AU232" si="151">DATE(YEAR(AT232+1),12,31)</f>
        <v>53692</v>
      </c>
      <c r="AV232" s="683">
        <f t="shared" ref="AV232" si="152">DATE(YEAR(AU232+1),12,31)</f>
        <v>54057</v>
      </c>
      <c r="AW232" s="683">
        <f t="shared" ref="AW232" si="153">DATE(YEAR(AV232+1),12,31)</f>
        <v>54423</v>
      </c>
      <c r="AX232" s="683">
        <f t="shared" ref="AX232" si="154">DATE(YEAR(AW232+1),12,31)</f>
        <v>54788</v>
      </c>
      <c r="AY232" s="683">
        <f t="shared" ref="AY232" si="155">DATE(YEAR(AX232+1),12,31)</f>
        <v>55153</v>
      </c>
      <c r="AZ232" s="683">
        <f t="shared" ref="AZ232" si="156">DATE(YEAR(AY232+1),12,31)</f>
        <v>55518</v>
      </c>
      <c r="BA232" s="683">
        <f t="shared" ref="BA232" si="157">DATE(YEAR(AZ232+1),12,31)</f>
        <v>55884</v>
      </c>
      <c r="BB232" s="683">
        <f t="shared" ref="BB232" si="158">DATE(YEAR(BA232+1),12,31)</f>
        <v>56249</v>
      </c>
      <c r="BC232" s="683">
        <f t="shared" ref="BC232" si="159">DATE(YEAR(BB232+1),12,31)</f>
        <v>56614</v>
      </c>
      <c r="BD232" s="683">
        <f t="shared" ref="BD232" si="160">DATE(YEAR(BC232+1),12,31)</f>
        <v>56979</v>
      </c>
      <c r="BE232" s="683">
        <f t="shared" ref="BE232" si="161">DATE(YEAR(BD232+1),12,31)</f>
        <v>57345</v>
      </c>
      <c r="BF232" s="683">
        <f t="shared" ref="BF232" si="162">DATE(YEAR(BE232+1),12,31)</f>
        <v>57710</v>
      </c>
      <c r="BG232" s="683">
        <f t="shared" ref="BG232" si="163">DATE(YEAR(BF232+1),12,31)</f>
        <v>58075</v>
      </c>
      <c r="BH232" s="683">
        <f t="shared" ref="BH232" si="164">DATE(YEAR(BG232+1),12,31)</f>
        <v>58440</v>
      </c>
      <c r="BI232" s="683">
        <f t="shared" ref="BI232" si="165">DATE(YEAR(BH232+1),12,31)</f>
        <v>58806</v>
      </c>
    </row>
    <row r="233" spans="1:61">
      <c r="A233" s="6" t="str">
        <f t="array" ref="A233:A237">TRANSPOSE(P214:T214)</f>
        <v>55-59 dB</v>
      </c>
      <c r="B233" s="500"/>
      <c r="C233" s="396"/>
      <c r="D233" s="396"/>
      <c r="E233" s="396"/>
      <c r="F233" s="396"/>
      <c r="G233" s="396"/>
      <c r="H233" s="396"/>
      <c r="I233" s="396"/>
      <c r="J233" s="396"/>
      <c r="K233" s="396"/>
      <c r="L233" s="396"/>
      <c r="M233" s="396"/>
      <c r="N233" s="396"/>
      <c r="O233" s="396"/>
      <c r="P233" s="432"/>
      <c r="Q233" s="501">
        <f t="array" ref="Q233:Q237">TRANSPOSE(P217:T217)</f>
        <v>346.36825452871165</v>
      </c>
      <c r="R233" s="502">
        <f>Q233*Indeksacja!R$61</f>
        <v>366.86195962061265</v>
      </c>
      <c r="S233" s="393">
        <f>R233*Indeksacja!S$61</f>
        <v>388.84319466263838</v>
      </c>
      <c r="T233" s="393">
        <f>S233*Indeksacja!T$61</f>
        <v>412.75446961821331</v>
      </c>
      <c r="U233" s="393">
        <f>T233*Indeksacja!U$61</f>
        <v>419.25356560724197</v>
      </c>
      <c r="V233" s="393">
        <f>U233*Indeksacja!V$61</f>
        <v>461.53431408943948</v>
      </c>
      <c r="W233" s="393">
        <f>V233*Indeksacja!W$61</f>
        <v>476.30031830848668</v>
      </c>
      <c r="X233" s="393">
        <f>W233*Indeksacja!X$61</f>
        <v>489.31114192309201</v>
      </c>
      <c r="Y233" s="393">
        <f>X233*Indeksacja!Y$61</f>
        <v>501.96328473621543</v>
      </c>
      <c r="Z233" s="393">
        <f>Y233*Indeksacja!Z$61</f>
        <v>515.41953575559137</v>
      </c>
      <c r="AA233" s="393">
        <f>Z233*Indeksacja!AA$61</f>
        <v>528.9001816008913</v>
      </c>
      <c r="AB233" s="393">
        <f>AA233*Indeksacja!AB$61</f>
        <v>542.81293303353243</v>
      </c>
      <c r="AC233" s="393">
        <f>AB233*Indeksacja!AC$61</f>
        <v>556.73718907246632</v>
      </c>
      <c r="AD233" s="393">
        <f>AC233*Indeksacja!AD$61</f>
        <v>570.65299284625519</v>
      </c>
      <c r="AE233" s="393">
        <f>AD233*Indeksacja!AE$61</f>
        <v>584.53912366338352</v>
      </c>
      <c r="AF233" s="393">
        <f>AE233*Indeksacja!AF$61</f>
        <v>598.85576127131276</v>
      </c>
      <c r="AG233" s="393">
        <f>AF233*Indeksacja!AG$61</f>
        <v>613.13133378463829</v>
      </c>
      <c r="AH233" s="393">
        <f>AG233*Indeksacja!AH$61</f>
        <v>627.83176120886526</v>
      </c>
      <c r="AI233" s="393">
        <f>AH233*Indeksacja!AI$61</f>
        <v>642.45910525923898</v>
      </c>
      <c r="AJ233" s="393">
        <f>AI233*Indeksacja!AJ$61</f>
        <v>656.98154005454489</v>
      </c>
      <c r="AK233" s="393">
        <f>AJ233*Indeksacja!AK$61</f>
        <v>671.3758639095696</v>
      </c>
      <c r="AL233" s="393">
        <f>AK233*Indeksacja!AL$61</f>
        <v>685.61032727303939</v>
      </c>
      <c r="AM233" s="393">
        <f>AL233*Indeksacja!AM$61</f>
        <v>699.65267857011315</v>
      </c>
      <c r="AN233" s="393">
        <f>AM233*Indeksacja!AN$61</f>
        <v>713.46933409988719</v>
      </c>
      <c r="AO233" s="393">
        <f>AN233*Indeksacja!AO$61</f>
        <v>727.60439931162591</v>
      </c>
      <c r="AP233" s="393">
        <f>AO233*Indeksacja!AP$61</f>
        <v>740.8858316790255</v>
      </c>
      <c r="AQ233" s="393">
        <f>AP233*Indeksacja!AQ$61</f>
        <v>754.44600864647407</v>
      </c>
      <c r="AR233" s="393">
        <f>AQ233*Indeksacja!AR$61</f>
        <v>768.2855647267445</v>
      </c>
      <c r="AS233" s="393">
        <f>AR233*Indeksacja!AS$61</f>
        <v>781.79346118759611</v>
      </c>
      <c r="AT233" s="393">
        <f>AS233*Indeksacja!AT$61</f>
        <v>794.94019529564036</v>
      </c>
      <c r="AU233" s="393">
        <f>AT233*Indeksacja!AU$61</f>
        <v>807.69662076475902</v>
      </c>
      <c r="AV233" s="393">
        <f>AU233*Indeksacja!AV$61</f>
        <v>820.68620673304281</v>
      </c>
      <c r="AW233" s="393">
        <f>AV233*Indeksacja!AW$61</f>
        <v>833.90679768162886</v>
      </c>
      <c r="AX233" s="393">
        <f>AW233*Indeksacja!AX$61</f>
        <v>847.3607625362846</v>
      </c>
      <c r="AY233" s="393">
        <f>AX233*Indeksacja!AY$61</f>
        <v>860.36520001134852</v>
      </c>
      <c r="AZ233" s="393">
        <f>AY233*Indeksacja!AZ$61</f>
        <v>873.45441690188397</v>
      </c>
      <c r="BA233" s="393">
        <f>AZ233*Indeksacja!BA$61</f>
        <v>886.7427673682605</v>
      </c>
      <c r="BB233" s="393">
        <f>BA233*Indeksacja!BB$61</f>
        <v>900.23328094091983</v>
      </c>
      <c r="BC233" s="393">
        <f>BB233*Indeksacja!BC$61</f>
        <v>913.92903324024417</v>
      </c>
      <c r="BD233" s="393">
        <f>BC233*Indeksacja!BD$61</f>
        <v>927.83314667774857</v>
      </c>
      <c r="BE233" s="393">
        <f>BD233*Indeksacja!BE$61</f>
        <v>942.69473018355427</v>
      </c>
      <c r="BF233" s="393">
        <f>BE233*Indeksacja!BF$61</f>
        <v>957.7943593607082</v>
      </c>
      <c r="BG233" s="393">
        <f>BF233*Indeksacja!BG$61</f>
        <v>973.13584710987641</v>
      </c>
      <c r="BH233" s="393">
        <f>BG233*Indeksacja!BH$61</f>
        <v>989.50542789555118</v>
      </c>
      <c r="BI233" s="393">
        <f>BH233*Indeksacja!BI$61</f>
        <v>1006.1503691829428</v>
      </c>
    </row>
    <row r="234" spans="1:61">
      <c r="A234" s="6" t="str">
        <v>60-64 dB</v>
      </c>
      <c r="B234" s="500"/>
      <c r="C234" s="396"/>
      <c r="D234" s="396"/>
      <c r="E234" s="396"/>
      <c r="F234" s="396"/>
      <c r="G234" s="396"/>
      <c r="H234" s="396"/>
      <c r="I234" s="396"/>
      <c r="J234" s="396"/>
      <c r="K234" s="396"/>
      <c r="L234" s="396"/>
      <c r="M234" s="396"/>
      <c r="N234" s="396"/>
      <c r="O234" s="396"/>
      <c r="P234" s="432"/>
      <c r="Q234" s="501">
        <v>746.6762616715946</v>
      </c>
      <c r="R234" s="502">
        <f>Q234*Indeksacja!R$61</f>
        <v>790.8551461558028</v>
      </c>
      <c r="S234" s="393">
        <f>R234*Indeksacja!S$61</f>
        <v>838.24074282497998</v>
      </c>
      <c r="T234" s="393">
        <f>S234*Indeksacja!T$61</f>
        <v>889.78698345815644</v>
      </c>
      <c r="U234" s="393">
        <f>T234*Indeksacja!U$61</f>
        <v>903.79727635851384</v>
      </c>
      <c r="V234" s="393">
        <f>U234*Indeksacja!V$61</f>
        <v>994.94313284100281</v>
      </c>
      <c r="W234" s="393">
        <f>V234*Indeksacja!W$61</f>
        <v>1026.7746436274258</v>
      </c>
      <c r="X234" s="393">
        <f>W234*Indeksacja!X$61</f>
        <v>1054.82245981959</v>
      </c>
      <c r="Y234" s="393">
        <f>X234*Indeksacja!Y$61</f>
        <v>1082.0970572294834</v>
      </c>
      <c r="Z234" s="393">
        <f>Y234*Indeksacja!Z$61</f>
        <v>1111.1050944150313</v>
      </c>
      <c r="AA234" s="393">
        <f>Z234*Indeksacja!AA$61</f>
        <v>1140.1657202462964</v>
      </c>
      <c r="AB234" s="393">
        <f>AA234*Indeksacja!AB$61</f>
        <v>1170.1578488362145</v>
      </c>
      <c r="AC234" s="393">
        <f>AB234*Indeksacja!AC$61</f>
        <v>1200.1747782452214</v>
      </c>
      <c r="AD234" s="393">
        <f>AC234*Indeksacja!AD$61</f>
        <v>1230.1734868569738</v>
      </c>
      <c r="AE234" s="393">
        <f>AD234*Indeksacja!AE$61</f>
        <v>1260.1082286009132</v>
      </c>
      <c r="AF234" s="393">
        <f>AE234*Indeksacja!AF$61</f>
        <v>1290.9710265306508</v>
      </c>
      <c r="AG234" s="393">
        <f>AF234*Indeksacja!AG$61</f>
        <v>1321.745299224825</v>
      </c>
      <c r="AH234" s="393">
        <f>AG234*Indeksacja!AH$61</f>
        <v>1353.4354441806079</v>
      </c>
      <c r="AI234" s="393">
        <f>AH234*Indeksacja!AI$61</f>
        <v>1384.9680411519391</v>
      </c>
      <c r="AJ234" s="393">
        <f>AI234*Indeksacja!AJ$61</f>
        <v>1416.2744821480485</v>
      </c>
      <c r="AK234" s="393">
        <f>AJ234*Indeksacja!AK$61</f>
        <v>1447.304750611838</v>
      </c>
      <c r="AL234" s="393">
        <f>AK234*Indeksacja!AL$61</f>
        <v>1477.9904030992425</v>
      </c>
      <c r="AM234" s="393">
        <f>AL234*Indeksacja!AM$61</f>
        <v>1508.2619139391861</v>
      </c>
      <c r="AN234" s="393">
        <f>AM234*Indeksacja!AN$61</f>
        <v>1538.0468857571525</v>
      </c>
      <c r="AO234" s="393">
        <f>AN234*Indeksacja!AO$61</f>
        <v>1568.5182627173363</v>
      </c>
      <c r="AP234" s="393">
        <f>AO234*Indeksacja!AP$61</f>
        <v>1597.14943817892</v>
      </c>
      <c r="AQ234" s="393">
        <f>AP234*Indeksacja!AQ$61</f>
        <v>1626.3815115957996</v>
      </c>
      <c r="AR234" s="393">
        <f>AQ234*Indeksacja!AR$61</f>
        <v>1656.2158508058733</v>
      </c>
      <c r="AS234" s="393">
        <f>AR234*Indeksacja!AS$61</f>
        <v>1685.3352215927812</v>
      </c>
      <c r="AT234" s="393">
        <f>AS234*Indeksacja!AT$61</f>
        <v>1713.6760240440383</v>
      </c>
      <c r="AU234" s="393">
        <f>AT234*Indeksacja!AU$61</f>
        <v>1741.1754266510525</v>
      </c>
      <c r="AV234" s="393">
        <f>AU234*Indeksacja!AV$61</f>
        <v>1769.1774602226826</v>
      </c>
      <c r="AW234" s="393">
        <f>AV234*Indeksacja!AW$61</f>
        <v>1797.6774780433436</v>
      </c>
      <c r="AX234" s="393">
        <f>AW234*Indeksacja!AX$61</f>
        <v>1826.6805868761787</v>
      </c>
      <c r="AY234" s="393">
        <f>AX234*Indeksacja!AY$61</f>
        <v>1854.7146362789881</v>
      </c>
      <c r="AZ234" s="393">
        <f>AY234*Indeksacja!AZ$61</f>
        <v>1882.9314471681153</v>
      </c>
      <c r="BA234" s="393">
        <f>AZ234*Indeksacja!BA$61</f>
        <v>1911.577536179698</v>
      </c>
      <c r="BB234" s="393">
        <f>BA234*Indeksacja!BB$61</f>
        <v>1940.6594341618588</v>
      </c>
      <c r="BC234" s="393">
        <f>BB234*Indeksacja!BC$61</f>
        <v>1970.1837713201649</v>
      </c>
      <c r="BD234" s="393">
        <f>BC234*Indeksacja!BD$61</f>
        <v>2000.1572787292077</v>
      </c>
      <c r="BE234" s="393">
        <f>BD234*Indeksacja!BE$61</f>
        <v>2032.1948326030008</v>
      </c>
      <c r="BF234" s="393">
        <f>BE234*Indeksacja!BF$61</f>
        <v>2064.7455485511623</v>
      </c>
      <c r="BG234" s="393">
        <f>BF234*Indeksacja!BG$61</f>
        <v>2097.8176461561116</v>
      </c>
      <c r="BH234" s="393">
        <f>BG234*Indeksacja!BH$61</f>
        <v>2133.1060342412429</v>
      </c>
      <c r="BI234" s="393">
        <f>BH234*Indeksacja!BI$61</f>
        <v>2168.9880250810888</v>
      </c>
    </row>
    <row r="235" spans="1:61">
      <c r="A235" s="6" t="str">
        <v>65-69 dB</v>
      </c>
      <c r="B235" s="500"/>
      <c r="C235" s="396"/>
      <c r="D235" s="396"/>
      <c r="E235" s="396"/>
      <c r="F235" s="396"/>
      <c r="G235" s="396"/>
      <c r="H235" s="396"/>
      <c r="I235" s="396"/>
      <c r="J235" s="396"/>
      <c r="K235" s="396"/>
      <c r="L235" s="396"/>
      <c r="M235" s="396"/>
      <c r="N235" s="396"/>
      <c r="O235" s="396"/>
      <c r="P235" s="432"/>
      <c r="Q235" s="501">
        <v>1293.7431055440991</v>
      </c>
      <c r="R235" s="502">
        <f>Q235*Indeksacja!R$61</f>
        <v>1370.2905065343452</v>
      </c>
      <c r="S235" s="393">
        <f>R235*Indeksacja!S$61</f>
        <v>1452.3940795816491</v>
      </c>
      <c r="T235" s="393">
        <f>S235*Indeksacja!T$61</f>
        <v>1541.7066730831416</v>
      </c>
      <c r="U235" s="393">
        <f>T235*Indeksacja!U$61</f>
        <v>1565.9818787873012</v>
      </c>
      <c r="V235" s="393">
        <f>U235*Indeksacja!V$61</f>
        <v>1723.907514670173</v>
      </c>
      <c r="W235" s="393">
        <f>V235*Indeksacja!W$61</f>
        <v>1779.0609991626263</v>
      </c>
      <c r="X235" s="393">
        <f>W235*Indeksacja!X$61</f>
        <v>1827.6585918367859</v>
      </c>
      <c r="Y235" s="393">
        <f>X235*Indeksacja!Y$61</f>
        <v>1874.9164519923299</v>
      </c>
      <c r="Z235" s="393">
        <f>Y235*Indeksacja!Z$61</f>
        <v>1925.1777901928413</v>
      </c>
      <c r="AA235" s="393">
        <f>Z235*Indeksacja!AA$61</f>
        <v>1975.5302471302386</v>
      </c>
      <c r="AB235" s="393">
        <f>AA235*Indeksacja!AB$61</f>
        <v>2027.4966903876307</v>
      </c>
      <c r="AC235" s="393">
        <f>AB235*Indeksacja!AC$61</f>
        <v>2079.5061052651949</v>
      </c>
      <c r="AD235" s="393">
        <f>AC235*Indeksacja!AD$61</f>
        <v>2131.4839495250285</v>
      </c>
      <c r="AE235" s="393">
        <f>AD235*Indeksacja!AE$61</f>
        <v>2183.3509603507969</v>
      </c>
      <c r="AF235" s="393">
        <f>AE235*Indeksacja!AF$61</f>
        <v>2236.825985725261</v>
      </c>
      <c r="AG235" s="393">
        <f>AF235*Indeksacja!AG$61</f>
        <v>2290.147626133501</v>
      </c>
      <c r="AH235" s="393">
        <f>AG235*Indeksacja!AH$61</f>
        <v>2345.0561703779003</v>
      </c>
      <c r="AI235" s="393">
        <f>AH235*Indeksacja!AI$61</f>
        <v>2399.6917360516127</v>
      </c>
      <c r="AJ235" s="393">
        <f>AI235*Indeksacja!AJ$61</f>
        <v>2453.9354481888731</v>
      </c>
      <c r="AK235" s="393">
        <f>AJ235*Indeksacja!AK$61</f>
        <v>2507.7006446320233</v>
      </c>
      <c r="AL235" s="393">
        <f>AK235*Indeksacja!AL$61</f>
        <v>2560.8687355203369</v>
      </c>
      <c r="AM235" s="393">
        <f>AL235*Indeksacja!AM$61</f>
        <v>2613.3192558514702</v>
      </c>
      <c r="AN235" s="393">
        <f>AM235*Indeksacja!AN$61</f>
        <v>2664.9267649104195</v>
      </c>
      <c r="AO235" s="393">
        <f>AN235*Indeksacja!AO$61</f>
        <v>2717.7235871509151</v>
      </c>
      <c r="AP235" s="393">
        <f>AO235*Indeksacja!AP$61</f>
        <v>2767.3319485766851</v>
      </c>
      <c r="AQ235" s="393">
        <f>AP235*Indeksacja!AQ$61</f>
        <v>2817.9814674982877</v>
      </c>
      <c r="AR235" s="393">
        <f>AQ235*Indeksacja!AR$61</f>
        <v>2869.6745139265845</v>
      </c>
      <c r="AS235" s="393">
        <f>AR235*Indeksacja!AS$61</f>
        <v>2920.1287564506542</v>
      </c>
      <c r="AT235" s="393">
        <f>AS235*Indeksacja!AT$61</f>
        <v>2969.2339974486968</v>
      </c>
      <c r="AU235" s="393">
        <f>AT235*Indeksacja!AU$61</f>
        <v>3016.8813706888195</v>
      </c>
      <c r="AV235" s="393">
        <f>AU235*Indeksacja!AV$61</f>
        <v>3065.3996372176202</v>
      </c>
      <c r="AW235" s="393">
        <f>AV235*Indeksacja!AW$61</f>
        <v>3114.7807458132238</v>
      </c>
      <c r="AX235" s="393">
        <f>AW235*Indeksacja!AX$61</f>
        <v>3165.0335448078285</v>
      </c>
      <c r="AY235" s="393">
        <f>AX235*Indeksacja!AY$61</f>
        <v>3213.6072841874247</v>
      </c>
      <c r="AZ235" s="393">
        <f>AY235*Indeksacja!AZ$61</f>
        <v>3262.4976888006972</v>
      </c>
      <c r="BA235" s="393">
        <f>AZ235*Indeksacja!BA$61</f>
        <v>3312.131890478101</v>
      </c>
      <c r="BB235" s="393">
        <f>BA235*Indeksacja!BB$61</f>
        <v>3362.5212050202922</v>
      </c>
      <c r="BC235" s="393">
        <f>BB235*Indeksacja!BC$61</f>
        <v>3413.6771203815306</v>
      </c>
      <c r="BD235" s="393">
        <f>BC235*Indeksacja!BD$61</f>
        <v>3465.611299288747</v>
      </c>
      <c r="BE235" s="393">
        <f>BD235*Indeksacja!BE$61</f>
        <v>3521.1217883324543</v>
      </c>
      <c r="BF235" s="393">
        <f>BE235*Indeksacja!BF$61</f>
        <v>3577.5214175963888</v>
      </c>
      <c r="BG235" s="393">
        <f>BF235*Indeksacja!BG$61</f>
        <v>3634.8244288994365</v>
      </c>
      <c r="BH235" s="393">
        <f>BG235*Indeksacja!BH$61</f>
        <v>3695.9675388848764</v>
      </c>
      <c r="BI235" s="393">
        <f>BH235*Indeksacja!BI$61</f>
        <v>3758.1391661953812</v>
      </c>
    </row>
    <row r="236" spans="1:61">
      <c r="A236" s="6" t="str">
        <v>70-74 dB</v>
      </c>
      <c r="B236" s="500"/>
      <c r="C236" s="396"/>
      <c r="D236" s="396"/>
      <c r="E236" s="396"/>
      <c r="F236" s="396"/>
      <c r="G236" s="396"/>
      <c r="H236" s="396"/>
      <c r="I236" s="396"/>
      <c r="J236" s="396"/>
      <c r="K236" s="396"/>
      <c r="L236" s="396"/>
      <c r="M236" s="396"/>
      <c r="N236" s="396"/>
      <c r="O236" s="396"/>
      <c r="P236" s="432"/>
      <c r="Q236" s="501">
        <v>2083.9480895488177</v>
      </c>
      <c r="R236" s="502">
        <f>Q236*Indeksacja!R$61</f>
        <v>2207.2498558499897</v>
      </c>
      <c r="S236" s="393">
        <f>R236*Indeksacja!S$61</f>
        <v>2339.5014469609641</v>
      </c>
      <c r="T236" s="393">
        <f>S236*Indeksacja!T$61</f>
        <v>2483.3652540819376</v>
      </c>
      <c r="U236" s="393">
        <f>T236*Indeksacja!U$61</f>
        <v>2522.4675057838413</v>
      </c>
      <c r="V236" s="393">
        <f>U236*Indeksacja!V$61</f>
        <v>2776.8524959558135</v>
      </c>
      <c r="W236" s="393">
        <f>V236*Indeksacja!W$61</f>
        <v>2865.6931615775025</v>
      </c>
      <c r="X236" s="393">
        <f>W236*Indeksacja!X$61</f>
        <v>2943.9736640791134</v>
      </c>
      <c r="Y236" s="393">
        <f>X236*Indeksacja!Y$61</f>
        <v>3020.096139217555</v>
      </c>
      <c r="Z236" s="393">
        <f>Y236*Indeksacja!Z$61</f>
        <v>3101.0565859030444</v>
      </c>
      <c r="AA236" s="393">
        <f>Z236*Indeksacja!AA$61</f>
        <v>3182.1638057128444</v>
      </c>
      <c r="AB236" s="393">
        <f>AA236*Indeksacja!AB$61</f>
        <v>3265.870818088647</v>
      </c>
      <c r="AC236" s="393">
        <f>AB236*Indeksacja!AC$61</f>
        <v>3349.6470487083025</v>
      </c>
      <c r="AD236" s="393">
        <f>AC236*Indeksacja!AD$61</f>
        <v>3433.3724257015901</v>
      </c>
      <c r="AE236" s="393">
        <f>AD236*Indeksacja!AE$61</f>
        <v>3516.9192733390969</v>
      </c>
      <c r="AF236" s="393">
        <f>AE236*Indeksacja!AF$61</f>
        <v>3603.0562942748124</v>
      </c>
      <c r="AG236" s="393">
        <f>AF236*Indeksacja!AG$61</f>
        <v>3688.946244284346</v>
      </c>
      <c r="AH236" s="393">
        <f>AG236*Indeksacja!AH$61</f>
        <v>3777.3923626734359</v>
      </c>
      <c r="AI236" s="393">
        <f>AH236*Indeksacja!AI$61</f>
        <v>3865.3987699881768</v>
      </c>
      <c r="AJ236" s="393">
        <f>AI236*Indeksacja!AJ$61</f>
        <v>3952.773983656225</v>
      </c>
      <c r="AK236" s="393">
        <f>AJ236*Indeksacja!AK$61</f>
        <v>4039.3784091652583</v>
      </c>
      <c r="AL236" s="393">
        <f>AK236*Indeksacja!AL$61</f>
        <v>4125.0210231871979</v>
      </c>
      <c r="AM236" s="393">
        <f>AL236*Indeksacja!AM$61</f>
        <v>4209.5077819351318</v>
      </c>
      <c r="AN236" s="393">
        <f>AM236*Indeksacja!AN$61</f>
        <v>4292.6366267953645</v>
      </c>
      <c r="AO236" s="393">
        <f>AN236*Indeksacja!AO$61</f>
        <v>4377.6812050975277</v>
      </c>
      <c r="AP236" s="393">
        <f>AO236*Indeksacja!AP$61</f>
        <v>4457.5898435094805</v>
      </c>
      <c r="AQ236" s="393">
        <f>AP236*Indeksacja!AQ$61</f>
        <v>4539.1755677084511</v>
      </c>
      <c r="AR236" s="393">
        <f>AQ236*Indeksacja!AR$61</f>
        <v>4622.4421952835619</v>
      </c>
      <c r="AS236" s="393">
        <f>AR236*Indeksacja!AS$61</f>
        <v>4703.7133702696101</v>
      </c>
      <c r="AT236" s="393">
        <f>AS236*Indeksacja!AT$61</f>
        <v>4782.8115874706737</v>
      </c>
      <c r="AU236" s="393">
        <f>AT236*Indeksacja!AU$61</f>
        <v>4859.5614862800003</v>
      </c>
      <c r="AV236" s="393">
        <f>AU236*Indeksacja!AV$61</f>
        <v>4937.7142110424575</v>
      </c>
      <c r="AW236" s="393">
        <f>AV236*Indeksacja!AW$61</f>
        <v>5017.2567929326478</v>
      </c>
      <c r="AX236" s="393">
        <f>AW236*Indeksacja!AX$61</f>
        <v>5098.2034847530804</v>
      </c>
      <c r="AY236" s="393">
        <f>AX236*Indeksacja!AY$61</f>
        <v>5176.4455646131155</v>
      </c>
      <c r="AZ236" s="393">
        <f>AY236*Indeksacja!AZ$61</f>
        <v>5255.1977255749698</v>
      </c>
      <c r="BA236" s="393">
        <f>AZ236*Indeksacja!BA$61</f>
        <v>5335.147987198513</v>
      </c>
      <c r="BB236" s="393">
        <f>BA236*Indeksacja!BB$61</f>
        <v>5416.3145768590712</v>
      </c>
      <c r="BC236" s="393">
        <f>BB236*Indeksacja!BC$61</f>
        <v>5498.7159992352226</v>
      </c>
      <c r="BD236" s="393">
        <f>BC236*Indeksacja!BD$61</f>
        <v>5582.3710405275688</v>
      </c>
      <c r="BE236" s="393">
        <f>BD236*Indeksacja!BE$61</f>
        <v>5671.7867654089805</v>
      </c>
      <c r="BF236" s="393">
        <f>BE236*Indeksacja!BF$61</f>
        <v>5762.6347082132106</v>
      </c>
      <c r="BG236" s="393">
        <f>BF236*Indeksacja!BG$61</f>
        <v>5854.937809515658</v>
      </c>
      <c r="BH236" s="393">
        <f>BG236*Indeksacja!BH$61</f>
        <v>5953.4265022841064</v>
      </c>
      <c r="BI236" s="393">
        <f>BH236*Indeksacja!BI$61</f>
        <v>6053.5719201824904</v>
      </c>
    </row>
    <row r="237" spans="1:61">
      <c r="A237" s="6" t="str">
        <v>&gt; 75 dB</v>
      </c>
      <c r="B237" s="500"/>
      <c r="C237" s="396"/>
      <c r="D237" s="396"/>
      <c r="E237" s="396"/>
      <c r="F237" s="396"/>
      <c r="G237" s="396"/>
      <c r="H237" s="396"/>
      <c r="I237" s="396"/>
      <c r="J237" s="396"/>
      <c r="K237" s="396"/>
      <c r="L237" s="396"/>
      <c r="M237" s="396"/>
      <c r="N237" s="396"/>
      <c r="O237" s="396"/>
      <c r="P237" s="432"/>
      <c r="Q237" s="501">
        <v>2650.2808276872584</v>
      </c>
      <c r="R237" s="502">
        <f>Q237*Indeksacja!R$61</f>
        <v>2807.0910231459757</v>
      </c>
      <c r="S237" s="393">
        <f>R237*Indeksacja!S$61</f>
        <v>2975.2832435330179</v>
      </c>
      <c r="T237" s="393">
        <f>S237*Indeksacja!T$61</f>
        <v>3158.2434102103757</v>
      </c>
      <c r="U237" s="393">
        <f>T237*Indeksacja!U$61</f>
        <v>3207.9720711711166</v>
      </c>
      <c r="V237" s="393">
        <f>U237*Indeksacja!V$61</f>
        <v>3531.4886048531794</v>
      </c>
      <c r="W237" s="393">
        <f>V237*Indeksacja!W$61</f>
        <v>3644.4725673601883</v>
      </c>
      <c r="X237" s="393">
        <f>W237*Indeksacja!X$61</f>
        <v>3744.0265418580179</v>
      </c>
      <c r="Y237" s="393">
        <f>X237*Indeksacja!Y$61</f>
        <v>3840.8360245064991</v>
      </c>
      <c r="Z237" s="393">
        <f>Y237*Indeksacja!Z$61</f>
        <v>3943.7982435404697</v>
      </c>
      <c r="AA237" s="393">
        <f>Z237*Indeksacja!AA$61</f>
        <v>4046.9471226929577</v>
      </c>
      <c r="AB237" s="393">
        <f>AA237*Indeksacja!AB$61</f>
        <v>4153.4023127982928</v>
      </c>
      <c r="AC237" s="393">
        <f>AB237*Indeksacja!AC$61</f>
        <v>4259.9455318643923</v>
      </c>
      <c r="AD237" s="393">
        <f>AC237*Indeksacja!AD$61</f>
        <v>4366.4240773468946</v>
      </c>
      <c r="AE237" s="393">
        <f>AD237*Indeksacja!AE$61</f>
        <v>4472.6755764211021</v>
      </c>
      <c r="AF237" s="393">
        <f>AE237*Indeksacja!AF$61</f>
        <v>4582.2211530527384</v>
      </c>
      <c r="AG237" s="393">
        <f>AF237*Indeksacja!AG$61</f>
        <v>4691.4525148812218</v>
      </c>
      <c r="AH237" s="393">
        <f>AG237*Indeksacja!AH$61</f>
        <v>4803.9347081880196</v>
      </c>
      <c r="AI237" s="393">
        <f>AH237*Indeksacja!AI$61</f>
        <v>4915.85769474878</v>
      </c>
      <c r="AJ237" s="393">
        <f>AI237*Indeksacja!AJ$61</f>
        <v>5026.9779547786929</v>
      </c>
      <c r="AK237" s="393">
        <f>AJ237*Indeksacja!AK$61</f>
        <v>5137.117957627398</v>
      </c>
      <c r="AL237" s="393">
        <f>AK237*Indeksacja!AL$61</f>
        <v>5246.0347675583544</v>
      </c>
      <c r="AM237" s="393">
        <f>AL237*Indeksacja!AM$61</f>
        <v>5353.4816075377348</v>
      </c>
      <c r="AN237" s="393">
        <f>AM237*Indeksacja!AN$61</f>
        <v>5459.2015075994304</v>
      </c>
      <c r="AO237" s="393">
        <f>AN237*Indeksacja!AO$61</f>
        <v>5567.3577599088485</v>
      </c>
      <c r="AP237" s="393">
        <f>AO237*Indeksacja!AP$61</f>
        <v>5668.982331754899</v>
      </c>
      <c r="AQ237" s="393">
        <f>AP237*Indeksacja!AQ$61</f>
        <v>5772.7397534209658</v>
      </c>
      <c r="AR237" s="393">
        <f>AQ237*Indeksacja!AR$61</f>
        <v>5878.6348799623702</v>
      </c>
      <c r="AS237" s="393">
        <f>AR237*Indeksacja!AS$61</f>
        <v>5981.992270671547</v>
      </c>
      <c r="AT237" s="393">
        <f>AS237*Indeksacja!AT$61</f>
        <v>6082.5861816252536</v>
      </c>
      <c r="AU237" s="393">
        <f>AT237*Indeksacja!AU$61</f>
        <v>6180.1935963019478</v>
      </c>
      <c r="AV237" s="393">
        <f>AU237*Indeksacja!AV$61</f>
        <v>6279.5850682432201</v>
      </c>
      <c r="AW237" s="393">
        <f>AV237*Indeksacja!AW$61</f>
        <v>6380.7441042218734</v>
      </c>
      <c r="AX237" s="393">
        <f>AW237*Indeksacja!AX$61</f>
        <v>6483.6888303752239</v>
      </c>
      <c r="AY237" s="393">
        <f>AX237*Indeksacja!AY$61</f>
        <v>6583.1939405127432</v>
      </c>
      <c r="AZ237" s="393">
        <f>AY237*Indeksacja!AZ$61</f>
        <v>6683.3477511488472</v>
      </c>
      <c r="BA237" s="393">
        <f>AZ237*Indeksacja!BA$61</f>
        <v>6785.025257710603</v>
      </c>
      <c r="BB237" s="393">
        <f>BA237*Indeksacja!BB$61</f>
        <v>6888.2496410361537</v>
      </c>
      <c r="BC237" s="393">
        <f>BB237*Indeksacja!BC$61</f>
        <v>6993.0444346266968</v>
      </c>
      <c r="BD237" s="393">
        <f>BC237*Indeksacja!BD$61</f>
        <v>7099.4335300117418</v>
      </c>
      <c r="BE237" s="393">
        <f>BD237*Indeksacja!BE$61</f>
        <v>7213.1488296084181</v>
      </c>
      <c r="BF237" s="393">
        <f>BE237*Indeksacja!BF$61</f>
        <v>7328.6855659870143</v>
      </c>
      <c r="BG237" s="393">
        <f>BF237*Indeksacja!BG$61</f>
        <v>7446.0729140427502</v>
      </c>
      <c r="BH237" s="393">
        <f>BG237*Indeksacja!BH$61</f>
        <v>7571.3268469488776</v>
      </c>
      <c r="BI237" s="393">
        <f>BH237*Indeksacja!BI$61</f>
        <v>7698.6877358154907</v>
      </c>
    </row>
    <row r="238" spans="1:61"/>
    <row r="239" spans="1:61" hidden="1"/>
    <row r="240" spans="1:61" hidden="1"/>
    <row r="241" hidden="1"/>
    <row r="242" hidden="1"/>
    <row r="243" hidden="1"/>
    <row r="244" hidden="1"/>
    <row r="245" hidden="1"/>
    <row r="246" hidden="1"/>
    <row r="247" hidden="1"/>
    <row r="248" hidden="1"/>
    <row r="249" hidden="1"/>
    <row r="250" hidden="1"/>
    <row r="251" hidden="1"/>
    <row r="252" hidden="1"/>
    <row r="253" hidden="1"/>
    <row r="254" hidden="1"/>
    <row r="255" hidden="1"/>
  </sheetData>
  <mergeCells count="86">
    <mergeCell ref="A231:A232"/>
    <mergeCell ref="A108:V109"/>
    <mergeCell ref="A6:V7"/>
    <mergeCell ref="A137:V138"/>
    <mergeCell ref="A86:V87"/>
    <mergeCell ref="A93:V96"/>
    <mergeCell ref="A175:A177"/>
    <mergeCell ref="A178:A180"/>
    <mergeCell ref="A182:A184"/>
    <mergeCell ref="A185:A187"/>
    <mergeCell ref="A153:A155"/>
    <mergeCell ref="A157:A159"/>
    <mergeCell ref="A160:A162"/>
    <mergeCell ref="A166:A168"/>
    <mergeCell ref="A169:A171"/>
    <mergeCell ref="A172:A174"/>
    <mergeCell ref="A131:A133"/>
    <mergeCell ref="A134:A136"/>
    <mergeCell ref="A141:A143"/>
    <mergeCell ref="A144:A146"/>
    <mergeCell ref="A147:A149"/>
    <mergeCell ref="A150:A152"/>
    <mergeCell ref="T39:T42"/>
    <mergeCell ref="A115:A117"/>
    <mergeCell ref="A118:A120"/>
    <mergeCell ref="A121:A123"/>
    <mergeCell ref="A124:A126"/>
    <mergeCell ref="A127:A129"/>
    <mergeCell ref="A77:A80"/>
    <mergeCell ref="B77:B78"/>
    <mergeCell ref="B79:B80"/>
    <mergeCell ref="A81:A84"/>
    <mergeCell ref="B81:B82"/>
    <mergeCell ref="B83:B84"/>
    <mergeCell ref="A67:A70"/>
    <mergeCell ref="B67:B68"/>
    <mergeCell ref="B69:B70"/>
    <mergeCell ref="T59:T62"/>
    <mergeCell ref="T27:T30"/>
    <mergeCell ref="T23:T26"/>
    <mergeCell ref="Q19:S19"/>
    <mergeCell ref="U19:W19"/>
    <mergeCell ref="T31:T34"/>
    <mergeCell ref="T81:T84"/>
    <mergeCell ref="T77:T80"/>
    <mergeCell ref="T71:T74"/>
    <mergeCell ref="T67:T70"/>
    <mergeCell ref="T63:T66"/>
    <mergeCell ref="A49:A52"/>
    <mergeCell ref="A53:A56"/>
    <mergeCell ref="T35:T38"/>
    <mergeCell ref="T53:T56"/>
    <mergeCell ref="T49:T52"/>
    <mergeCell ref="T45:T48"/>
    <mergeCell ref="B45:B46"/>
    <mergeCell ref="B47:B48"/>
    <mergeCell ref="A45:A48"/>
    <mergeCell ref="B49:B50"/>
    <mergeCell ref="B51:B52"/>
    <mergeCell ref="A71:A74"/>
    <mergeCell ref="B71:B72"/>
    <mergeCell ref="B73:B74"/>
    <mergeCell ref="B53:B54"/>
    <mergeCell ref="B55:B56"/>
    <mergeCell ref="A59:A62"/>
    <mergeCell ref="B59:B60"/>
    <mergeCell ref="B61:B62"/>
    <mergeCell ref="A63:A66"/>
    <mergeCell ref="B63:B64"/>
    <mergeCell ref="B65:B66"/>
    <mergeCell ref="A222:A223"/>
    <mergeCell ref="B33:B34"/>
    <mergeCell ref="B35:B36"/>
    <mergeCell ref="B37:B38"/>
    <mergeCell ref="A23:A26"/>
    <mergeCell ref="A27:A30"/>
    <mergeCell ref="A31:A34"/>
    <mergeCell ref="A35:A38"/>
    <mergeCell ref="B23:B24"/>
    <mergeCell ref="B25:B26"/>
    <mergeCell ref="B27:B28"/>
    <mergeCell ref="B29:B30"/>
    <mergeCell ref="B31:B32"/>
    <mergeCell ref="A39:A42"/>
    <mergeCell ref="B39:B40"/>
    <mergeCell ref="B41:B42"/>
  </mergeCells>
  <hyperlinks>
    <hyperlink ref="A110" location="Indeksacja!A29" display="Nota metodologiczna"/>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29.28515625" customWidth="1"/>
    <col min="2" max="2" width="10.28515625" customWidth="1"/>
    <col min="3" max="15" width="1.7109375" hidden="1" customWidth="1" outlineLevel="1"/>
    <col min="16" max="16" width="13.7109375" customWidth="1" collapsed="1"/>
    <col min="17" max="18" width="13.7109375" customWidth="1"/>
    <col min="19" max="19" width="14.7109375" customWidth="1"/>
    <col min="20" max="61" width="10" bestFit="1" customWidth="1"/>
    <col min="62" max="62" width="9.140625" customWidth="1"/>
    <col min="63" max="16384" width="9.140625" hidden="1"/>
  </cols>
  <sheetData>
    <row r="1" spans="1:61" ht="21">
      <c r="A1" s="4" t="s">
        <v>176</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69" t="str">
        <f>Indeksacja!$A$2</f>
        <v>Dla roku bazowego 2022 właściwe do zastosowania w analizie są wartości kosztów jednostkowych określone według poziomu cenowego z końca roku poprzedniego, tzn. 2021.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row>
    <row r="3" spans="1:61"/>
    <row r="4" spans="1:61">
      <c r="A4" s="206" t="str">
        <f>'VOC eksploatacja samochody'!$A$4</f>
        <v>Prognoza zmian struktury floty pojazdów drogowych w Polsce pod względem rodzaju paliwa</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row>
    <row r="5" spans="1:61">
      <c r="A5" s="369" t="str">
        <f>'Hałas-zdezagr.krańc'!$A$5</f>
        <v xml:space="preserve">W zakresie zmian struktury floty pojazdów drogowych należy przyjąć takie same założenia, jak dla kosztów eksploatacji samochodów (VOC). </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row>
    <row r="6" spans="1:61">
      <c r="A6" s="715" t="str">
        <f>'Hałas-zdezagr.krańc'!$A$6</f>
        <v xml:space="preserve">Należy przyjąć, że w transporcie drogowym koszty hałasu dotyczą wyłącznie samochodów spalinowych LV, HGV (odpowiedni udział %) i nie dotyczą samochodów elektrycznych, gdyż poziom hałasu emitowanego przez samochody elektryczne jest nieistotny. </v>
      </c>
      <c r="B6" s="715"/>
      <c r="C6" s="715"/>
      <c r="D6" s="715"/>
      <c r="E6" s="715"/>
      <c r="F6" s="715"/>
      <c r="G6" s="715"/>
      <c r="H6" s="715"/>
      <c r="I6" s="715"/>
      <c r="J6" s="715"/>
      <c r="K6" s="715"/>
      <c r="L6" s="715"/>
      <c r="M6" s="715"/>
      <c r="N6" s="715"/>
      <c r="O6" s="715"/>
      <c r="P6" s="715"/>
      <c r="Q6" s="715"/>
      <c r="R6" s="715"/>
      <c r="S6" s="715"/>
      <c r="T6" s="715"/>
      <c r="U6" s="715"/>
      <c r="V6" s="715"/>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row>
    <row r="7" spans="1:61" s="694" customFormat="1">
      <c r="A7" s="715"/>
      <c r="B7" s="715"/>
      <c r="C7" s="715"/>
      <c r="D7" s="715"/>
      <c r="E7" s="715"/>
      <c r="F7" s="715"/>
      <c r="G7" s="715"/>
      <c r="H7" s="715"/>
      <c r="I7" s="715"/>
      <c r="J7" s="715"/>
      <c r="K7" s="715"/>
      <c r="L7" s="715"/>
      <c r="M7" s="715"/>
      <c r="N7" s="715"/>
      <c r="O7" s="715"/>
      <c r="P7" s="715"/>
      <c r="Q7" s="715"/>
      <c r="R7" s="715"/>
      <c r="S7" s="715"/>
      <c r="T7" s="715"/>
      <c r="U7" s="715"/>
      <c r="V7" s="715"/>
    </row>
    <row r="8" spans="1:6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row>
    <row r="9" spans="1:61" hidden="1" outlineLevel="1">
      <c r="A9" s="1" t="s">
        <v>223</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row>
    <row r="10" spans="1:61" hidden="1" outlineLevel="1">
      <c r="A10" s="799"/>
      <c r="B10" s="801" t="s">
        <v>191</v>
      </c>
      <c r="C10" s="242"/>
      <c r="D10" s="242"/>
      <c r="E10" s="242"/>
      <c r="F10" s="242"/>
      <c r="G10" s="242"/>
      <c r="H10" s="242"/>
      <c r="I10" s="242"/>
      <c r="J10" s="242"/>
      <c r="K10" s="242"/>
      <c r="L10" s="242"/>
      <c r="M10" s="242"/>
      <c r="N10" s="242"/>
      <c r="O10" s="242"/>
      <c r="P10" s="242">
        <v>2016</v>
      </c>
      <c r="Q10" s="242">
        <v>2016</v>
      </c>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row>
    <row r="11" spans="1:61" hidden="1" outlineLevel="1">
      <c r="A11" s="800"/>
      <c r="B11" s="802"/>
      <c r="C11" s="242"/>
      <c r="D11" s="242"/>
      <c r="E11" s="242"/>
      <c r="F11" s="242"/>
      <c r="G11" s="242"/>
      <c r="H11" s="242"/>
      <c r="I11" s="242"/>
      <c r="J11" s="242"/>
      <c r="K11" s="242"/>
      <c r="L11" s="242"/>
      <c r="M11" s="242"/>
      <c r="N11" s="242"/>
      <c r="O11" s="242"/>
      <c r="P11" s="242" t="s">
        <v>209</v>
      </c>
      <c r="Q11" s="242" t="s">
        <v>80</v>
      </c>
      <c r="R11" s="242" t="s">
        <v>210</v>
      </c>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row>
    <row r="12" spans="1:61" hidden="1" outlineLevel="1">
      <c r="A12" s="392" t="s">
        <v>211</v>
      </c>
      <c r="B12" s="373"/>
      <c r="C12" s="242"/>
      <c r="D12" s="242"/>
      <c r="E12" s="242"/>
      <c r="F12" s="242"/>
      <c r="G12" s="242"/>
      <c r="H12" s="242"/>
      <c r="I12" s="242"/>
      <c r="J12" s="242"/>
      <c r="K12" s="242"/>
      <c r="L12" s="242"/>
      <c r="M12" s="242"/>
      <c r="N12" s="242"/>
      <c r="O12" s="242"/>
      <c r="P12" s="242"/>
      <c r="Q12" s="242"/>
      <c r="R12" s="242"/>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row>
    <row r="13" spans="1:61" hidden="1" outlineLevel="1">
      <c r="A13" s="466" t="s">
        <v>89</v>
      </c>
      <c r="B13" s="467"/>
      <c r="C13" s="257"/>
      <c r="D13" s="257"/>
      <c r="E13" s="257"/>
      <c r="F13" s="257"/>
      <c r="G13" s="257"/>
      <c r="H13" s="257"/>
      <c r="I13" s="257"/>
      <c r="J13" s="257"/>
      <c r="K13" s="257"/>
      <c r="L13" s="257"/>
      <c r="M13" s="257"/>
      <c r="N13" s="257"/>
      <c r="O13" s="257"/>
      <c r="P13" s="400">
        <v>0.89265492412315794</v>
      </c>
      <c r="Q13" s="400">
        <v>0.99606817517610602</v>
      </c>
      <c r="R13" s="438">
        <f t="shared" ref="R13:R25" si="0">IFERROR((Q13-P13)/P13,"brak")</f>
        <v>0.11584907925593915</v>
      </c>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row>
    <row r="14" spans="1:61" hidden="1" outlineLevel="1">
      <c r="A14" s="468" t="s">
        <v>94</v>
      </c>
      <c r="B14" s="469"/>
      <c r="C14" s="259"/>
      <c r="D14" s="259"/>
      <c r="E14" s="259"/>
      <c r="F14" s="259"/>
      <c r="G14" s="259"/>
      <c r="H14" s="259"/>
      <c r="I14" s="259"/>
      <c r="J14" s="259"/>
      <c r="K14" s="259"/>
      <c r="L14" s="259"/>
      <c r="M14" s="259"/>
      <c r="N14" s="259"/>
      <c r="O14" s="259"/>
      <c r="P14" s="444">
        <v>0.84815271635216805</v>
      </c>
      <c r="Q14" s="444">
        <v>0.97291829226141602</v>
      </c>
      <c r="R14" s="470">
        <f t="shared" si="0"/>
        <v>0.14710272513876274</v>
      </c>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row>
    <row r="15" spans="1:61" hidden="1" outlineLevel="1">
      <c r="A15" s="471" t="s">
        <v>91</v>
      </c>
      <c r="B15" s="472"/>
      <c r="C15" s="473"/>
      <c r="D15" s="473"/>
      <c r="E15" s="473"/>
      <c r="F15" s="473"/>
      <c r="G15" s="473"/>
      <c r="H15" s="473"/>
      <c r="I15" s="473"/>
      <c r="J15" s="473"/>
      <c r="K15" s="473"/>
      <c r="L15" s="473"/>
      <c r="M15" s="473"/>
      <c r="N15" s="473"/>
      <c r="O15" s="473"/>
      <c r="P15" s="474">
        <v>0.97291829226141602</v>
      </c>
      <c r="Q15" s="474">
        <v>1.03907673613519</v>
      </c>
      <c r="R15" s="475">
        <f t="shared" si="0"/>
        <v>6.799999999999766E-2</v>
      </c>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row>
    <row r="16" spans="1:61" hidden="1" outlineLevel="1">
      <c r="A16" s="466" t="s">
        <v>180</v>
      </c>
      <c r="B16" s="476"/>
      <c r="C16" s="256"/>
      <c r="D16" s="256"/>
      <c r="E16" s="256"/>
      <c r="F16" s="256"/>
      <c r="G16" s="256"/>
      <c r="H16" s="256"/>
      <c r="I16" s="256"/>
      <c r="J16" s="256"/>
      <c r="K16" s="256"/>
      <c r="L16" s="256"/>
      <c r="M16" s="256"/>
      <c r="N16" s="256"/>
      <c r="O16" s="256"/>
      <c r="P16" s="477">
        <f>SUMPRODUCT(P17:P20,P46:P49)</f>
        <v>6.3735627527137932</v>
      </c>
      <c r="Q16" s="477">
        <f>SUMPRODUCT(Q17:Q20,P46:P49)</f>
        <v>7.9103358560659558</v>
      </c>
      <c r="R16" s="438">
        <f t="shared" si="0"/>
        <v>0.24111680750265169</v>
      </c>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row>
    <row r="17" spans="1:61" hidden="1" outlineLevel="1">
      <c r="A17" s="468" t="s">
        <v>779</v>
      </c>
      <c r="B17" s="469"/>
      <c r="C17" s="259"/>
      <c r="D17" s="259"/>
      <c r="E17" s="259"/>
      <c r="F17" s="259"/>
      <c r="G17" s="259"/>
      <c r="H17" s="259"/>
      <c r="I17" s="259"/>
      <c r="J17" s="259"/>
      <c r="K17" s="259"/>
      <c r="L17" s="259"/>
      <c r="M17" s="259"/>
      <c r="N17" s="259"/>
      <c r="O17" s="259"/>
      <c r="P17" s="444">
        <v>4.0210616469623801</v>
      </c>
      <c r="Q17" s="444">
        <v>5.1681419684926402</v>
      </c>
      <c r="R17" s="470">
        <f t="shared" si="0"/>
        <v>0.28526802676521906</v>
      </c>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row>
    <row r="18" spans="1:61" hidden="1" outlineLevel="1">
      <c r="A18" s="468" t="s">
        <v>780</v>
      </c>
      <c r="B18" s="469"/>
      <c r="C18" s="259"/>
      <c r="D18" s="259"/>
      <c r="E18" s="259"/>
      <c r="F18" s="259"/>
      <c r="G18" s="259"/>
      <c r="H18" s="259"/>
      <c r="I18" s="259"/>
      <c r="J18" s="259"/>
      <c r="K18" s="259"/>
      <c r="L18" s="259"/>
      <c r="M18" s="259"/>
      <c r="N18" s="259"/>
      <c r="O18" s="259"/>
      <c r="P18" s="444">
        <v>5.7491304170423101</v>
      </c>
      <c r="Q18" s="444">
        <v>7.06338680181788</v>
      </c>
      <c r="R18" s="470">
        <f t="shared" si="0"/>
        <v>0.22860089951685258</v>
      </c>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row>
    <row r="19" spans="1:61" hidden="1" outlineLevel="1">
      <c r="A19" s="468" t="s">
        <v>781</v>
      </c>
      <c r="B19" s="469"/>
      <c r="C19" s="259"/>
      <c r="D19" s="259"/>
      <c r="E19" s="259"/>
      <c r="F19" s="259"/>
      <c r="G19" s="259"/>
      <c r="H19" s="259"/>
      <c r="I19" s="259"/>
      <c r="J19" s="259"/>
      <c r="K19" s="259"/>
      <c r="L19" s="259"/>
      <c r="M19" s="259"/>
      <c r="N19" s="259"/>
      <c r="O19" s="259"/>
      <c r="P19" s="444">
        <v>6.4534864909959104</v>
      </c>
      <c r="Q19" s="444">
        <v>8.0110092184805008</v>
      </c>
      <c r="R19" s="470">
        <f t="shared" si="0"/>
        <v>0.24134593442748983</v>
      </c>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row>
    <row r="20" spans="1:61" hidden="1" outlineLevel="1">
      <c r="A20" s="471" t="s">
        <v>782</v>
      </c>
      <c r="B20" s="472"/>
      <c r="C20" s="473"/>
      <c r="D20" s="473"/>
      <c r="E20" s="473"/>
      <c r="F20" s="473"/>
      <c r="G20" s="473"/>
      <c r="H20" s="473"/>
      <c r="I20" s="473"/>
      <c r="J20" s="473"/>
      <c r="K20" s="473"/>
      <c r="L20" s="473"/>
      <c r="M20" s="473"/>
      <c r="N20" s="473"/>
      <c r="O20" s="473"/>
      <c r="P20" s="474">
        <v>7.2334558635725399</v>
      </c>
      <c r="Q20" s="474">
        <v>9.0228442424323791</v>
      </c>
      <c r="R20" s="475">
        <f t="shared" si="0"/>
        <v>0.2473766913918897</v>
      </c>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row>
    <row r="21" spans="1:61" hidden="1" outlineLevel="1">
      <c r="A21" s="466" t="s">
        <v>783</v>
      </c>
      <c r="B21" s="476"/>
      <c r="C21" s="256"/>
      <c r="D21" s="256"/>
      <c r="E21" s="256"/>
      <c r="F21" s="256"/>
      <c r="G21" s="256"/>
      <c r="H21" s="256"/>
      <c r="I21" s="256"/>
      <c r="J21" s="256"/>
      <c r="K21" s="256"/>
      <c r="L21" s="256"/>
      <c r="M21" s="256"/>
      <c r="N21" s="256"/>
      <c r="O21" s="256"/>
      <c r="P21" s="477">
        <f>SUMPRODUCT(P22:P23,P51:P52)</f>
        <v>7.3141092893191217</v>
      </c>
      <c r="Q21" s="477">
        <f>SUMPRODUCT(Q22:Q23,P51:P52)</f>
        <v>6.701461197096636</v>
      </c>
      <c r="R21" s="438">
        <f t="shared" si="0"/>
        <v>-8.3762501760418426E-2</v>
      </c>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row>
    <row r="22" spans="1:61" hidden="1" outlineLevel="1">
      <c r="A22" s="468" t="s">
        <v>193</v>
      </c>
      <c r="B22" s="469"/>
      <c r="C22" s="259"/>
      <c r="D22" s="259"/>
      <c r="E22" s="259"/>
      <c r="F22" s="259"/>
      <c r="G22" s="259"/>
      <c r="H22" s="259"/>
      <c r="I22" s="259"/>
      <c r="J22" s="259"/>
      <c r="K22" s="259"/>
      <c r="L22" s="259"/>
      <c r="M22" s="259"/>
      <c r="N22" s="259"/>
      <c r="O22" s="259"/>
      <c r="P22" s="444">
        <v>7.97739097460141</v>
      </c>
      <c r="Q22" s="444">
        <v>7.0682513932791897</v>
      </c>
      <c r="R22" s="470">
        <f t="shared" si="0"/>
        <v>-0.11396452602320215</v>
      </c>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row>
    <row r="23" spans="1:61" hidden="1" outlineLevel="1">
      <c r="A23" s="471" t="s">
        <v>194</v>
      </c>
      <c r="B23" s="472"/>
      <c r="C23" s="473"/>
      <c r="D23" s="473"/>
      <c r="E23" s="473"/>
      <c r="F23" s="473"/>
      <c r="G23" s="473"/>
      <c r="H23" s="473"/>
      <c r="I23" s="473"/>
      <c r="J23" s="473"/>
      <c r="K23" s="473"/>
      <c r="L23" s="473"/>
      <c r="M23" s="473"/>
      <c r="N23" s="473"/>
      <c r="O23" s="473"/>
      <c r="P23" s="474">
        <v>4.6609825481899696</v>
      </c>
      <c r="Q23" s="474">
        <v>5.2343004123664203</v>
      </c>
      <c r="R23" s="475">
        <f t="shared" si="0"/>
        <v>0.12300364960583066</v>
      </c>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row>
    <row r="24" spans="1:61" hidden="1" outlineLevel="1">
      <c r="A24" s="337" t="s">
        <v>192</v>
      </c>
      <c r="B24" s="130"/>
      <c r="C24" s="13"/>
      <c r="D24" s="13"/>
      <c r="E24" s="13"/>
      <c r="F24" s="13"/>
      <c r="G24" s="13"/>
      <c r="H24" s="13"/>
      <c r="I24" s="13"/>
      <c r="J24" s="13"/>
      <c r="K24" s="13"/>
      <c r="L24" s="13"/>
      <c r="M24" s="13"/>
      <c r="N24" s="13"/>
      <c r="O24" s="13"/>
      <c r="P24" s="393">
        <v>1.1368741379215599</v>
      </c>
      <c r="Q24" s="393">
        <v>1.2871709006618499</v>
      </c>
      <c r="R24" s="394">
        <f t="shared" si="0"/>
        <v>0.1322017607112283</v>
      </c>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row>
    <row r="25" spans="1:61" s="369" customFormat="1" hidden="1" outlineLevel="1">
      <c r="A25" s="337" t="s">
        <v>735</v>
      </c>
      <c r="B25" s="130"/>
      <c r="C25" s="13"/>
      <c r="D25" s="13"/>
      <c r="E25" s="13"/>
      <c r="F25" s="13"/>
      <c r="G25" s="13"/>
      <c r="H25" s="13"/>
      <c r="I25" s="13"/>
      <c r="J25" s="13"/>
      <c r="K25" s="13"/>
      <c r="L25" s="13"/>
      <c r="M25" s="13"/>
      <c r="N25" s="13"/>
      <c r="O25" s="13"/>
      <c r="P25" s="393">
        <v>9.4153047467969202</v>
      </c>
      <c r="Q25" s="393">
        <v>6.8882615092108299</v>
      </c>
      <c r="R25" s="394">
        <f t="shared" si="0"/>
        <v>-0.26839739185773975</v>
      </c>
    </row>
    <row r="26" spans="1:61" hidden="1" outlineLevel="1">
      <c r="A26" s="392" t="s">
        <v>212</v>
      </c>
      <c r="B26" s="373"/>
      <c r="C26" s="242"/>
      <c r="D26" s="242"/>
      <c r="E26" s="242"/>
      <c r="F26" s="242"/>
      <c r="G26" s="242"/>
      <c r="H26" s="242"/>
      <c r="I26" s="242"/>
      <c r="J26" s="242"/>
      <c r="K26" s="242"/>
      <c r="L26" s="242"/>
      <c r="M26" s="242"/>
      <c r="N26" s="242"/>
      <c r="O26" s="242"/>
      <c r="P26" s="242"/>
      <c r="Q26" s="242"/>
      <c r="R26" s="242"/>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row>
    <row r="27" spans="1:61" hidden="1" outlineLevel="1">
      <c r="A27" s="356" t="s">
        <v>213</v>
      </c>
      <c r="B27" s="129"/>
      <c r="C27" s="244"/>
      <c r="D27" s="244"/>
      <c r="E27" s="244"/>
      <c r="F27" s="244"/>
      <c r="G27" s="244"/>
      <c r="H27" s="244"/>
      <c r="I27" s="244"/>
      <c r="J27" s="244"/>
      <c r="K27" s="244"/>
      <c r="L27" s="244"/>
      <c r="M27" s="244"/>
      <c r="N27" s="244"/>
      <c r="O27" s="244"/>
      <c r="P27" s="395">
        <v>97.310142320105498</v>
      </c>
      <c r="Q27" s="395" t="s">
        <v>222</v>
      </c>
      <c r="R27" s="414" t="str">
        <f t="shared" ref="R27:R31" si="1">IFERROR((Q27-P27)/P27,"brak")</f>
        <v>brak</v>
      </c>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row>
    <row r="28" spans="1:61" hidden="1" outlineLevel="1">
      <c r="A28" s="356" t="s">
        <v>214</v>
      </c>
      <c r="B28" s="129"/>
      <c r="C28" s="244"/>
      <c r="D28" s="244"/>
      <c r="E28" s="244"/>
      <c r="F28" s="244"/>
      <c r="G28" s="244"/>
      <c r="H28" s="244"/>
      <c r="I28" s="244"/>
      <c r="J28" s="244"/>
      <c r="K28" s="244"/>
      <c r="L28" s="244"/>
      <c r="M28" s="244"/>
      <c r="N28" s="244"/>
      <c r="O28" s="244"/>
      <c r="P28" s="395">
        <v>105.54706852955999</v>
      </c>
      <c r="Q28" s="395">
        <v>37.638980526923199</v>
      </c>
      <c r="R28" s="394">
        <f t="shared" si="1"/>
        <v>-0.64339151194538524</v>
      </c>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row>
    <row r="29" spans="1:61" hidden="1" outlineLevel="1">
      <c r="A29" s="356" t="s">
        <v>219</v>
      </c>
      <c r="B29" s="129"/>
      <c r="C29" s="244"/>
      <c r="D29" s="244"/>
      <c r="E29" s="244"/>
      <c r="F29" s="244"/>
      <c r="G29" s="244"/>
      <c r="H29" s="244"/>
      <c r="I29" s="244"/>
      <c r="J29" s="244"/>
      <c r="K29" s="244"/>
      <c r="L29" s="244"/>
      <c r="M29" s="244"/>
      <c r="N29" s="244"/>
      <c r="O29" s="244"/>
      <c r="P29" s="395">
        <v>81.384631380744807</v>
      </c>
      <c r="Q29" s="395">
        <v>37.168886259029797</v>
      </c>
      <c r="R29" s="394">
        <f t="shared" si="1"/>
        <v>-0.54329354783041051</v>
      </c>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row>
    <row r="30" spans="1:61" hidden="1" outlineLevel="1">
      <c r="A30" s="356" t="s">
        <v>220</v>
      </c>
      <c r="B30" s="129"/>
      <c r="C30" s="244"/>
      <c r="D30" s="244"/>
      <c r="E30" s="244"/>
      <c r="F30" s="244"/>
      <c r="G30" s="244"/>
      <c r="H30" s="244"/>
      <c r="I30" s="244"/>
      <c r="J30" s="244"/>
      <c r="K30" s="244"/>
      <c r="L30" s="244"/>
      <c r="M30" s="244"/>
      <c r="N30" s="244"/>
      <c r="O30" s="244"/>
      <c r="P30" s="395">
        <v>358.677108707885</v>
      </c>
      <c r="Q30" s="395">
        <v>148.67554503611899</v>
      </c>
      <c r="R30" s="394">
        <f t="shared" si="1"/>
        <v>-0.58548917277794876</v>
      </c>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row>
    <row r="31" spans="1:61" hidden="1" outlineLevel="1">
      <c r="A31" s="356" t="s">
        <v>221</v>
      </c>
      <c r="B31" s="129"/>
      <c r="C31" s="244"/>
      <c r="D31" s="244"/>
      <c r="E31" s="244"/>
      <c r="F31" s="244"/>
      <c r="G31" s="244"/>
      <c r="H31" s="244"/>
      <c r="I31" s="244"/>
      <c r="J31" s="244"/>
      <c r="K31" s="244"/>
      <c r="L31" s="244"/>
      <c r="M31" s="244"/>
      <c r="N31" s="244"/>
      <c r="O31" s="244"/>
      <c r="P31" s="395">
        <v>201.24230445458701</v>
      </c>
      <c r="Q31" s="395">
        <v>148.67554503611899</v>
      </c>
      <c r="R31" s="394">
        <f t="shared" si="1"/>
        <v>-0.26121127742467493</v>
      </c>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row>
    <row r="32" spans="1:61" hidden="1" outlineLevel="1">
      <c r="A32" s="35" t="s">
        <v>784</v>
      </c>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row>
    <row r="33" spans="1:61" hidden="1" outlineLevel="1">
      <c r="A33" s="782" t="s">
        <v>785</v>
      </c>
      <c r="B33" s="782"/>
      <c r="C33" s="782"/>
      <c r="D33" s="782"/>
      <c r="E33" s="782"/>
      <c r="F33" s="782"/>
      <c r="G33" s="782"/>
      <c r="H33" s="782"/>
      <c r="I33" s="782"/>
      <c r="J33" s="782"/>
      <c r="K33" s="782"/>
      <c r="L33" s="782"/>
      <c r="M33" s="782"/>
      <c r="N33" s="782"/>
      <c r="O33" s="782"/>
      <c r="P33" s="782"/>
      <c r="Q33" s="782"/>
      <c r="R33" s="782"/>
      <c r="S33" s="782"/>
      <c r="T33" s="782"/>
      <c r="U33" s="782"/>
      <c r="V33" s="782"/>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row>
    <row r="34" spans="1:61" s="694" customFormat="1" hidden="1" outlineLevel="1">
      <c r="A34" s="782"/>
      <c r="B34" s="782"/>
      <c r="C34" s="782"/>
      <c r="D34" s="782"/>
      <c r="E34" s="782"/>
      <c r="F34" s="782"/>
      <c r="G34" s="782"/>
      <c r="H34" s="782"/>
      <c r="I34" s="782"/>
      <c r="J34" s="782"/>
      <c r="K34" s="782"/>
      <c r="L34" s="782"/>
      <c r="M34" s="782"/>
      <c r="N34" s="782"/>
      <c r="O34" s="782"/>
      <c r="P34" s="782"/>
      <c r="Q34" s="782"/>
      <c r="R34" s="782"/>
      <c r="S34" s="782"/>
      <c r="T34" s="782"/>
      <c r="U34" s="782"/>
      <c r="V34" s="782"/>
    </row>
    <row r="35" spans="1:61" s="694" customFormat="1" hidden="1" outlineLevel="1">
      <c r="A35" s="782"/>
      <c r="B35" s="782"/>
      <c r="C35" s="782"/>
      <c r="D35" s="782"/>
      <c r="E35" s="782"/>
      <c r="F35" s="782"/>
      <c r="G35" s="782"/>
      <c r="H35" s="782"/>
      <c r="I35" s="782"/>
      <c r="J35" s="782"/>
      <c r="K35" s="782"/>
      <c r="L35" s="782"/>
      <c r="M35" s="782"/>
      <c r="N35" s="782"/>
      <c r="O35" s="782"/>
      <c r="P35" s="782"/>
      <c r="Q35" s="782"/>
      <c r="R35" s="782"/>
      <c r="S35" s="782"/>
      <c r="T35" s="782"/>
      <c r="U35" s="782"/>
      <c r="V35" s="782"/>
    </row>
    <row r="36" spans="1:61" s="694" customFormat="1" hidden="1" outlineLevel="1">
      <c r="A36" s="782"/>
      <c r="B36" s="782"/>
      <c r="C36" s="782"/>
      <c r="D36" s="782"/>
      <c r="E36" s="782"/>
      <c r="F36" s="782"/>
      <c r="G36" s="782"/>
      <c r="H36" s="782"/>
      <c r="I36" s="782"/>
      <c r="J36" s="782"/>
      <c r="K36" s="782"/>
      <c r="L36" s="782"/>
      <c r="M36" s="782"/>
      <c r="N36" s="782"/>
      <c r="O36" s="782"/>
      <c r="P36" s="782"/>
      <c r="Q36" s="782"/>
      <c r="R36" s="782"/>
      <c r="S36" s="782"/>
      <c r="T36" s="782"/>
      <c r="U36" s="782"/>
      <c r="V36" s="782"/>
    </row>
    <row r="37" spans="1:61" s="694" customFormat="1" hidden="1" outlineLevel="1">
      <c r="A37" s="782"/>
      <c r="B37" s="782"/>
      <c r="C37" s="782"/>
      <c r="D37" s="782"/>
      <c r="E37" s="782"/>
      <c r="F37" s="782"/>
      <c r="G37" s="782"/>
      <c r="H37" s="782"/>
      <c r="I37" s="782"/>
      <c r="J37" s="782"/>
      <c r="K37" s="782"/>
      <c r="L37" s="782"/>
      <c r="M37" s="782"/>
      <c r="N37" s="782"/>
      <c r="O37" s="782"/>
      <c r="P37" s="782"/>
      <c r="Q37" s="782"/>
      <c r="R37" s="782"/>
      <c r="S37" s="782"/>
      <c r="T37" s="782"/>
      <c r="U37" s="782"/>
      <c r="V37" s="782"/>
    </row>
    <row r="38" spans="1:61" hidden="1" outlineLevel="1">
      <c r="A38" s="762" t="s">
        <v>786</v>
      </c>
      <c r="B38" s="762"/>
      <c r="C38" s="762"/>
      <c r="D38" s="762"/>
      <c r="E38" s="762"/>
      <c r="F38" s="762"/>
      <c r="G38" s="762"/>
      <c r="H38" s="762"/>
      <c r="I38" s="762"/>
      <c r="J38" s="762"/>
      <c r="K38" s="762"/>
      <c r="L38" s="762"/>
      <c r="M38" s="762"/>
      <c r="N38" s="762"/>
      <c r="O38" s="762"/>
      <c r="P38" s="762"/>
      <c r="Q38" s="762"/>
      <c r="R38" s="762"/>
      <c r="S38" s="762"/>
      <c r="T38" s="762"/>
      <c r="U38" s="762"/>
      <c r="V38" s="762"/>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row>
    <row r="39" spans="1:61" s="694" customFormat="1" hidden="1" outlineLevel="1">
      <c r="A39" s="762"/>
      <c r="B39" s="762"/>
      <c r="C39" s="762"/>
      <c r="D39" s="762"/>
      <c r="E39" s="762"/>
      <c r="F39" s="762"/>
      <c r="G39" s="762"/>
      <c r="H39" s="762"/>
      <c r="I39" s="762"/>
      <c r="J39" s="762"/>
      <c r="K39" s="762"/>
      <c r="L39" s="762"/>
      <c r="M39" s="762"/>
      <c r="N39" s="762"/>
      <c r="O39" s="762"/>
      <c r="P39" s="762"/>
      <c r="Q39" s="762"/>
      <c r="R39" s="762"/>
      <c r="S39" s="762"/>
      <c r="T39" s="762"/>
      <c r="U39" s="762"/>
      <c r="V39" s="762"/>
    </row>
    <row r="40" spans="1:61" s="694" customFormat="1" hidden="1" outlineLevel="1">
      <c r="A40" s="762"/>
      <c r="B40" s="762"/>
      <c r="C40" s="762"/>
      <c r="D40" s="762"/>
      <c r="E40" s="762"/>
      <c r="F40" s="762"/>
      <c r="G40" s="762"/>
      <c r="H40" s="762"/>
      <c r="I40" s="762"/>
      <c r="J40" s="762"/>
      <c r="K40" s="762"/>
      <c r="L40" s="762"/>
      <c r="M40" s="762"/>
      <c r="N40" s="762"/>
      <c r="O40" s="762"/>
      <c r="P40" s="762"/>
      <c r="Q40" s="762"/>
      <c r="R40" s="762"/>
      <c r="S40" s="762"/>
      <c r="T40" s="762"/>
      <c r="U40" s="762"/>
      <c r="V40" s="762"/>
    </row>
    <row r="41" spans="1:61" hidden="1" outlineLevel="1">
      <c r="A41" s="762" t="s">
        <v>792</v>
      </c>
      <c r="B41" s="762"/>
      <c r="C41" s="762"/>
      <c r="D41" s="762"/>
      <c r="E41" s="762"/>
      <c r="F41" s="762"/>
      <c r="G41" s="762"/>
      <c r="H41" s="762"/>
      <c r="I41" s="762"/>
      <c r="J41" s="762"/>
      <c r="K41" s="762"/>
      <c r="L41" s="762"/>
      <c r="M41" s="762"/>
      <c r="N41" s="762"/>
      <c r="O41" s="762"/>
      <c r="P41" s="762"/>
      <c r="Q41" s="762"/>
      <c r="R41" s="762"/>
      <c r="S41" s="762"/>
      <c r="T41" s="762"/>
      <c r="U41" s="762"/>
      <c r="V41" s="762"/>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row>
    <row r="42" spans="1:61" s="694" customFormat="1" hidden="1" outlineLevel="1">
      <c r="A42" s="762"/>
      <c r="B42" s="762"/>
      <c r="C42" s="762"/>
      <c r="D42" s="762"/>
      <c r="E42" s="762"/>
      <c r="F42" s="762"/>
      <c r="G42" s="762"/>
      <c r="H42" s="762"/>
      <c r="I42" s="762"/>
      <c r="J42" s="762"/>
      <c r="K42" s="762"/>
      <c r="L42" s="762"/>
      <c r="M42" s="762"/>
      <c r="N42" s="762"/>
      <c r="O42" s="762"/>
      <c r="P42" s="762"/>
      <c r="Q42" s="762"/>
      <c r="R42" s="762"/>
      <c r="S42" s="762"/>
      <c r="T42" s="762"/>
      <c r="U42" s="762"/>
      <c r="V42" s="762"/>
    </row>
    <row r="43" spans="1:61" hidden="1" outlineLevel="1">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row>
    <row r="44" spans="1:61" hidden="1" outlineLevel="1">
      <c r="A44" s="355" t="s">
        <v>178</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row>
    <row r="45" spans="1:61" hidden="1" outlineLevel="1">
      <c r="A45" s="255" t="s">
        <v>180</v>
      </c>
      <c r="B45" s="476"/>
      <c r="C45" s="256"/>
      <c r="D45" s="256"/>
      <c r="E45" s="256"/>
      <c r="F45" s="256"/>
      <c r="G45" s="256"/>
      <c r="H45" s="256"/>
      <c r="I45" s="256"/>
      <c r="J45" s="256"/>
      <c r="K45" s="256"/>
      <c r="L45" s="256"/>
      <c r="M45" s="256"/>
      <c r="N45" s="256"/>
      <c r="O45" s="256"/>
      <c r="P45" s="478"/>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row>
    <row r="46" spans="1:61" hidden="1" outlineLevel="1">
      <c r="A46" s="479" t="s">
        <v>787</v>
      </c>
      <c r="B46" s="480"/>
      <c r="C46" s="342"/>
      <c r="D46" s="342"/>
      <c r="E46" s="342"/>
      <c r="F46" s="342"/>
      <c r="G46" s="342"/>
      <c r="H46" s="342"/>
      <c r="I46" s="342"/>
      <c r="J46" s="342"/>
      <c r="K46" s="342"/>
      <c r="L46" s="342"/>
      <c r="M46" s="342"/>
      <c r="N46" s="342"/>
      <c r="O46" s="342"/>
      <c r="P46" s="481">
        <f>S63/SUM(S63:S66)</f>
        <v>1.8187611979418074E-2</v>
      </c>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row>
    <row r="47" spans="1:61" hidden="1" outlineLevel="1">
      <c r="A47" s="479" t="s">
        <v>788</v>
      </c>
      <c r="B47" s="480"/>
      <c r="C47" s="342"/>
      <c r="D47" s="342"/>
      <c r="E47" s="342"/>
      <c r="F47" s="342"/>
      <c r="G47" s="342"/>
      <c r="H47" s="342"/>
      <c r="I47" s="342"/>
      <c r="J47" s="342"/>
      <c r="K47" s="342"/>
      <c r="L47" s="342"/>
      <c r="M47" s="342"/>
      <c r="N47" s="342"/>
      <c r="O47" s="342"/>
      <c r="P47" s="481">
        <f>S64/SUM(S63:S66)</f>
        <v>7.9010259169068411E-2</v>
      </c>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row>
    <row r="48" spans="1:61" hidden="1" outlineLevel="1">
      <c r="A48" s="479" t="s">
        <v>789</v>
      </c>
      <c r="B48" s="480"/>
      <c r="C48" s="342"/>
      <c r="D48" s="342"/>
      <c r="E48" s="342"/>
      <c r="F48" s="342"/>
      <c r="G48" s="342"/>
      <c r="H48" s="342"/>
      <c r="I48" s="342"/>
      <c r="J48" s="342"/>
      <c r="K48" s="342"/>
      <c r="L48" s="342"/>
      <c r="M48" s="342"/>
      <c r="N48" s="342"/>
      <c r="O48" s="342"/>
      <c r="P48" s="481">
        <f>S65/SUM(S63:S66)</f>
        <v>0.87720161477660885</v>
      </c>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row>
    <row r="49" spans="1:61" hidden="1" outlineLevel="1">
      <c r="A49" s="482" t="s">
        <v>790</v>
      </c>
      <c r="B49" s="483"/>
      <c r="C49" s="484"/>
      <c r="D49" s="484"/>
      <c r="E49" s="484"/>
      <c r="F49" s="484"/>
      <c r="G49" s="484"/>
      <c r="H49" s="484"/>
      <c r="I49" s="484"/>
      <c r="J49" s="484"/>
      <c r="K49" s="484"/>
      <c r="L49" s="484"/>
      <c r="M49" s="484"/>
      <c r="N49" s="484"/>
      <c r="O49" s="484"/>
      <c r="P49" s="485">
        <f>100%-SUM(P46:P48)</f>
        <v>2.5600514074904712E-2</v>
      </c>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row>
    <row r="50" spans="1:61" hidden="1" outlineLevel="1">
      <c r="A50" s="255" t="s">
        <v>791</v>
      </c>
      <c r="B50" s="476"/>
      <c r="C50" s="256"/>
      <c r="D50" s="256"/>
      <c r="E50" s="256"/>
      <c r="F50" s="256"/>
      <c r="G50" s="256"/>
      <c r="H50" s="256"/>
      <c r="I50" s="256"/>
      <c r="J50" s="256"/>
      <c r="K50" s="256"/>
      <c r="L50" s="256"/>
      <c r="M50" s="256"/>
      <c r="N50" s="256"/>
      <c r="O50" s="256"/>
      <c r="P50" s="478"/>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row>
    <row r="51" spans="1:61" hidden="1" outlineLevel="1">
      <c r="A51" s="479" t="s">
        <v>179</v>
      </c>
      <c r="B51" s="480"/>
      <c r="C51" s="342"/>
      <c r="D51" s="342"/>
      <c r="E51" s="342"/>
      <c r="F51" s="342"/>
      <c r="G51" s="342"/>
      <c r="H51" s="342"/>
      <c r="I51" s="342"/>
      <c r="J51" s="342"/>
      <c r="K51" s="342"/>
      <c r="L51" s="342"/>
      <c r="M51" s="342"/>
      <c r="N51" s="342"/>
      <c r="O51" s="342"/>
      <c r="P51" s="481">
        <v>0.8</v>
      </c>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row>
    <row r="52" spans="1:61" hidden="1" outlineLevel="1">
      <c r="A52" s="482" t="s">
        <v>177</v>
      </c>
      <c r="B52" s="483"/>
      <c r="C52" s="484"/>
      <c r="D52" s="484"/>
      <c r="E52" s="484"/>
      <c r="F52" s="484"/>
      <c r="G52" s="484"/>
      <c r="H52" s="484"/>
      <c r="I52" s="484"/>
      <c r="J52" s="484"/>
      <c r="K52" s="484"/>
      <c r="L52" s="484"/>
      <c r="M52" s="484"/>
      <c r="N52" s="484"/>
      <c r="O52" s="484"/>
      <c r="P52" s="485">
        <f>(100%-P51)</f>
        <v>0.19999999999999996</v>
      </c>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row>
    <row r="53" spans="1:61" hidden="1" outlineLevel="1">
      <c r="A53" s="247" t="s">
        <v>793</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row>
    <row r="54" spans="1:61" hidden="1" outlineLevel="1">
      <c r="A54" s="838" t="s">
        <v>794</v>
      </c>
      <c r="B54" s="838"/>
      <c r="C54" s="838"/>
      <c r="D54" s="838"/>
      <c r="E54" s="838"/>
      <c r="F54" s="838"/>
      <c r="G54" s="838"/>
      <c r="H54" s="838"/>
      <c r="I54" s="838"/>
      <c r="J54" s="838"/>
      <c r="K54" s="838"/>
      <c r="L54" s="838"/>
      <c r="M54" s="838"/>
      <c r="N54" s="838"/>
      <c r="O54" s="838"/>
      <c r="P54" s="838"/>
      <c r="Q54" s="838"/>
      <c r="R54" s="838"/>
      <c r="S54" s="838"/>
      <c r="T54" s="838"/>
      <c r="U54" s="838"/>
      <c r="V54" s="838"/>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row>
    <row r="55" spans="1:61" s="694" customFormat="1" hidden="1" outlineLevel="1">
      <c r="A55" s="838"/>
      <c r="B55" s="838"/>
      <c r="C55" s="838"/>
      <c r="D55" s="838"/>
      <c r="E55" s="838"/>
      <c r="F55" s="838"/>
      <c r="G55" s="838"/>
      <c r="H55" s="838"/>
      <c r="I55" s="838"/>
      <c r="J55" s="838"/>
      <c r="K55" s="838"/>
      <c r="L55" s="838"/>
      <c r="M55" s="838"/>
      <c r="N55" s="838"/>
      <c r="O55" s="838"/>
      <c r="P55" s="838"/>
      <c r="Q55" s="838"/>
      <c r="R55" s="838"/>
      <c r="S55" s="838"/>
      <c r="T55" s="838"/>
      <c r="U55" s="838"/>
      <c r="V55" s="838"/>
    </row>
    <row r="56" spans="1:61" s="694" customFormat="1" hidden="1" outlineLevel="1">
      <c r="A56" s="838"/>
      <c r="B56" s="838"/>
      <c r="C56" s="838"/>
      <c r="D56" s="838"/>
      <c r="E56" s="838"/>
      <c r="F56" s="838"/>
      <c r="G56" s="838"/>
      <c r="H56" s="838"/>
      <c r="I56" s="838"/>
      <c r="J56" s="838"/>
      <c r="K56" s="838"/>
      <c r="L56" s="838"/>
      <c r="M56" s="838"/>
      <c r="N56" s="838"/>
      <c r="O56" s="838"/>
      <c r="P56" s="838"/>
      <c r="Q56" s="838"/>
      <c r="R56" s="838"/>
      <c r="S56" s="838"/>
      <c r="T56" s="838"/>
      <c r="U56" s="838"/>
      <c r="V56" s="838"/>
    </row>
    <row r="57" spans="1:61" s="694" customFormat="1" hidden="1" outlineLevel="1">
      <c r="A57" s="838"/>
      <c r="B57" s="838"/>
      <c r="C57" s="838"/>
      <c r="D57" s="838"/>
      <c r="E57" s="838"/>
      <c r="F57" s="838"/>
      <c r="G57" s="838"/>
      <c r="H57" s="838"/>
      <c r="I57" s="838"/>
      <c r="J57" s="838"/>
      <c r="K57" s="838"/>
      <c r="L57" s="838"/>
      <c r="M57" s="838"/>
      <c r="N57" s="838"/>
      <c r="O57" s="838"/>
      <c r="P57" s="838"/>
      <c r="Q57" s="838"/>
      <c r="R57" s="838"/>
      <c r="S57" s="838"/>
      <c r="T57" s="838"/>
      <c r="U57" s="838"/>
      <c r="V57" s="838"/>
    </row>
    <row r="58" spans="1:61" s="694" customFormat="1" hidden="1" outlineLevel="1">
      <c r="A58" s="838"/>
      <c r="B58" s="838"/>
      <c r="C58" s="838"/>
      <c r="D58" s="838"/>
      <c r="E58" s="838"/>
      <c r="F58" s="838"/>
      <c r="G58" s="838"/>
      <c r="H58" s="838"/>
      <c r="I58" s="838"/>
      <c r="J58" s="838"/>
      <c r="K58" s="838"/>
      <c r="L58" s="838"/>
      <c r="M58" s="838"/>
      <c r="N58" s="838"/>
      <c r="O58" s="838"/>
      <c r="P58" s="838"/>
      <c r="Q58" s="838"/>
      <c r="R58" s="838"/>
      <c r="S58" s="838"/>
      <c r="T58" s="838"/>
      <c r="U58" s="838"/>
      <c r="V58" s="838"/>
    </row>
    <row r="59" spans="1:61" hidden="1" outlineLevel="1">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row>
    <row r="60" spans="1:61" hidden="1" outlineLevel="1">
      <c r="A60" s="357" t="s">
        <v>795</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row>
    <row r="61" spans="1:61" ht="45" hidden="1" outlineLevel="1">
      <c r="A61" s="836" t="s">
        <v>181</v>
      </c>
      <c r="B61" s="836" t="s">
        <v>182</v>
      </c>
      <c r="C61" s="377"/>
      <c r="D61" s="377"/>
      <c r="E61" s="377"/>
      <c r="F61" s="377"/>
      <c r="G61" s="377"/>
      <c r="H61" s="377"/>
      <c r="I61" s="377"/>
      <c r="J61" s="377"/>
      <c r="K61" s="377"/>
      <c r="L61" s="377"/>
      <c r="M61" s="377"/>
      <c r="N61" s="377"/>
      <c r="O61" s="377"/>
      <c r="P61" s="797"/>
      <c r="Q61" s="378" t="s">
        <v>183</v>
      </c>
      <c r="R61" s="378" t="s">
        <v>184</v>
      </c>
      <c r="S61" s="378" t="s">
        <v>195</v>
      </c>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row>
    <row r="62" spans="1:61" ht="15.75" hidden="1" outlineLevel="1" thickBot="1">
      <c r="A62" s="837"/>
      <c r="B62" s="837"/>
      <c r="C62" s="379"/>
      <c r="D62" s="379"/>
      <c r="E62" s="379"/>
      <c r="F62" s="379"/>
      <c r="G62" s="379"/>
      <c r="H62" s="379"/>
      <c r="I62" s="379"/>
      <c r="J62" s="379"/>
      <c r="K62" s="379"/>
      <c r="L62" s="379"/>
      <c r="M62" s="379"/>
      <c r="N62" s="379"/>
      <c r="O62" s="379"/>
      <c r="P62" s="798"/>
      <c r="Q62" s="380" t="s">
        <v>185</v>
      </c>
      <c r="R62" s="380" t="s">
        <v>186</v>
      </c>
      <c r="S62" s="380" t="s">
        <v>187</v>
      </c>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row>
    <row r="63" spans="1:61" hidden="1" outlineLevel="1">
      <c r="A63" s="358" t="s">
        <v>180</v>
      </c>
      <c r="B63" s="370" t="s">
        <v>796</v>
      </c>
      <c r="C63" s="443"/>
      <c r="D63" s="443"/>
      <c r="E63" s="443"/>
      <c r="F63" s="443"/>
      <c r="G63" s="443"/>
      <c r="H63" s="443"/>
      <c r="I63" s="443"/>
      <c r="J63" s="443"/>
      <c r="K63" s="443"/>
      <c r="L63" s="443"/>
      <c r="M63" s="443"/>
      <c r="N63" s="443"/>
      <c r="O63" s="443"/>
      <c r="P63" s="370"/>
      <c r="Q63" s="359">
        <v>85570</v>
      </c>
      <c r="R63" s="360">
        <v>218962</v>
      </c>
      <c r="S63" s="359">
        <f>Q63*R63</f>
        <v>18736578340</v>
      </c>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row>
    <row r="64" spans="1:61" hidden="1" outlineLevel="1">
      <c r="A64" s="358" t="s">
        <v>180</v>
      </c>
      <c r="B64" s="370" t="s">
        <v>797</v>
      </c>
      <c r="C64" s="443"/>
      <c r="D64" s="443"/>
      <c r="E64" s="443"/>
      <c r="F64" s="443"/>
      <c r="G64" s="443"/>
      <c r="H64" s="443"/>
      <c r="I64" s="443"/>
      <c r="J64" s="443"/>
      <c r="K64" s="443"/>
      <c r="L64" s="443"/>
      <c r="M64" s="443"/>
      <c r="N64" s="443"/>
      <c r="O64" s="443"/>
      <c r="P64" s="370"/>
      <c r="Q64" s="359">
        <v>154221</v>
      </c>
      <c r="R64" s="360">
        <v>527782</v>
      </c>
      <c r="S64" s="359">
        <f>Q64*R64</f>
        <v>81395067822</v>
      </c>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row>
    <row r="65" spans="1:61" hidden="1" outlineLevel="1">
      <c r="A65" s="358" t="s">
        <v>180</v>
      </c>
      <c r="B65" s="370" t="s">
        <v>798</v>
      </c>
      <c r="C65" s="443"/>
      <c r="D65" s="443"/>
      <c r="E65" s="443"/>
      <c r="F65" s="443"/>
      <c r="G65" s="443"/>
      <c r="H65" s="443"/>
      <c r="I65" s="443"/>
      <c r="J65" s="443"/>
      <c r="K65" s="443"/>
      <c r="L65" s="443"/>
      <c r="M65" s="443"/>
      <c r="N65" s="443"/>
      <c r="O65" s="443"/>
      <c r="P65" s="370"/>
      <c r="Q65" s="359">
        <v>418033</v>
      </c>
      <c r="R65" s="360">
        <v>2161740</v>
      </c>
      <c r="S65" s="359">
        <f t="shared" ref="S65:S66" si="2">Q65*R65</f>
        <v>903678657420</v>
      </c>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row>
    <row r="66" spans="1:61" hidden="1" outlineLevel="1">
      <c r="A66" s="358" t="s">
        <v>180</v>
      </c>
      <c r="B66" s="370" t="s">
        <v>799</v>
      </c>
      <c r="C66" s="443"/>
      <c r="D66" s="443"/>
      <c r="E66" s="443"/>
      <c r="F66" s="443"/>
      <c r="G66" s="443"/>
      <c r="H66" s="443"/>
      <c r="I66" s="443"/>
      <c r="J66" s="443"/>
      <c r="K66" s="443"/>
      <c r="L66" s="443"/>
      <c r="M66" s="443"/>
      <c r="N66" s="443"/>
      <c r="O66" s="443"/>
      <c r="P66" s="370"/>
      <c r="Q66" s="359">
        <v>21350</v>
      </c>
      <c r="R66" s="360">
        <v>1235280</v>
      </c>
      <c r="S66" s="359">
        <f t="shared" si="2"/>
        <v>26373228000</v>
      </c>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row>
    <row r="67" spans="1:61" hidden="1" outlineLevel="1">
      <c r="A67" s="361" t="s">
        <v>800</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row>
    <row r="68" spans="1:61" hidden="1" outlineLevel="1">
      <c r="A68" s="357" t="s">
        <v>801</v>
      </c>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row>
    <row r="69" spans="1:61" hidden="1" outlineLevel="1">
      <c r="A69" s="369"/>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row>
    <row r="70" spans="1:61" s="369" customFormat="1" hidden="1" outlineLevel="1">
      <c r="A70" s="369" t="s">
        <v>143</v>
      </c>
      <c r="B70" s="163">
        <f>1/100</f>
        <v>0.01</v>
      </c>
    </row>
    <row r="71" spans="1:61" s="369" customFormat="1" hidden="1" outlineLevel="1"/>
    <row r="72" spans="1:61" s="369" customFormat="1" hidden="1" outlineLevel="1">
      <c r="A72" s="9" t="s">
        <v>2</v>
      </c>
      <c r="B72" s="6"/>
      <c r="C72" s="6"/>
      <c r="D72" s="6"/>
      <c r="E72" s="6"/>
      <c r="F72" s="6"/>
      <c r="G72" s="6"/>
      <c r="H72" s="6"/>
      <c r="I72" s="6"/>
      <c r="J72" s="6"/>
      <c r="K72" s="6"/>
      <c r="L72" s="6"/>
      <c r="M72" s="6"/>
      <c r="N72" s="6"/>
      <c r="O72" s="6"/>
      <c r="P72" s="6"/>
      <c r="Q72" s="6">
        <v>2016</v>
      </c>
    </row>
    <row r="73" spans="1:61" s="369" customFormat="1" hidden="1" outlineLevel="1">
      <c r="A73" s="8" t="s">
        <v>3</v>
      </c>
      <c r="B73" s="12"/>
      <c r="C73" s="12"/>
      <c r="D73" s="12"/>
      <c r="E73" s="12"/>
      <c r="F73" s="12"/>
      <c r="G73" s="12"/>
      <c r="H73" s="12"/>
      <c r="I73" s="12"/>
      <c r="J73" s="12"/>
      <c r="K73" s="12"/>
      <c r="L73" s="12"/>
      <c r="M73" s="12"/>
      <c r="N73" s="12"/>
      <c r="O73" s="12"/>
      <c r="P73" s="12"/>
      <c r="Q73" s="11">
        <f>Indeksacja!$Q$41</f>
        <v>4.3632</v>
      </c>
    </row>
    <row r="74" spans="1:61" s="369" customFormat="1" hidden="1" outlineLevel="1">
      <c r="A74" s="35" t="str">
        <f>Indeksacja!$A$42</f>
        <v>Źródło: ECB, http://sdw.ecb.europa.eu/quickview.do?SERIES_KEY=120.EXR.A.PLN.EUR.SP00.A</v>
      </c>
    </row>
    <row r="75" spans="1:61" s="369" customFormat="1" hidden="1" outlineLevel="1"/>
    <row r="76" spans="1:61" s="490" customFormat="1" hidden="1" outlineLevel="1">
      <c r="A76" s="9" t="s">
        <v>589</v>
      </c>
      <c r="B76" s="6"/>
      <c r="C76" s="6"/>
      <c r="D76" s="6"/>
      <c r="E76" s="6"/>
      <c r="F76" s="6"/>
      <c r="G76" s="6"/>
      <c r="H76" s="6"/>
      <c r="I76" s="6"/>
      <c r="J76" s="6"/>
      <c r="K76" s="6"/>
      <c r="L76" s="6"/>
      <c r="M76" s="6"/>
      <c r="N76" s="6"/>
      <c r="O76" s="6"/>
      <c r="P76" s="6"/>
      <c r="Q76" s="6">
        <v>2016</v>
      </c>
    </row>
    <row r="77" spans="1:61" s="490" customFormat="1" hidden="1" outlineLevel="1">
      <c r="A77" s="8" t="s">
        <v>80</v>
      </c>
      <c r="B77" s="503"/>
      <c r="C77" s="503"/>
      <c r="D77" s="503"/>
      <c r="E77" s="503"/>
      <c r="F77" s="503"/>
      <c r="G77" s="503"/>
      <c r="H77" s="503"/>
      <c r="I77" s="503"/>
      <c r="J77" s="503"/>
      <c r="K77" s="503"/>
      <c r="L77" s="503"/>
      <c r="M77" s="503"/>
      <c r="N77" s="503"/>
      <c r="O77" s="503"/>
      <c r="P77" s="503"/>
      <c r="Q77" s="489">
        <f>Indeksacja!$Q$44</f>
        <v>68.2</v>
      </c>
    </row>
    <row r="78" spans="1:61" s="490" customFormat="1" hidden="1" outlineLevel="1">
      <c r="A78" s="35" t="str">
        <f>Indeksacja!$A$45</f>
        <v>Źródło: Eurostat, https://ec.europa.eu/eurostat/data/database Main GDP aggregates per capita [nama_10_pc] (aktualizacja 28.01.2022)</v>
      </c>
    </row>
    <row r="79" spans="1:61" s="490" customFormat="1" hidden="1" outlineLevel="1"/>
    <row r="80" spans="1:61" s="613" customFormat="1" hidden="1" outlineLevel="1">
      <c r="A80" s="749" t="str">
        <f>'VoT czas ładunki'!$A$41</f>
        <v xml:space="preserve">Wyjaśnienie w sprawie przeliczenia wyjściowych wartości kosztów jednostkowych z zastosowaniem kursu walutowego PLN/EUR oraz PKB Polski per capita w jednostkach siły nabywczej (PPS): </v>
      </c>
      <c r="B80" s="749"/>
      <c r="C80" s="749"/>
      <c r="D80" s="749"/>
      <c r="E80" s="749"/>
      <c r="F80" s="749"/>
      <c r="G80" s="749"/>
      <c r="H80" s="749"/>
      <c r="I80" s="749"/>
      <c r="J80" s="749"/>
      <c r="K80" s="749"/>
      <c r="L80" s="749"/>
      <c r="M80" s="749"/>
      <c r="N80" s="749"/>
      <c r="O80" s="749"/>
      <c r="P80" s="749"/>
      <c r="Q80" s="749"/>
      <c r="R80" s="749"/>
      <c r="S80" s="749"/>
      <c r="T80" s="749"/>
      <c r="U80" s="749"/>
      <c r="V80" s="749"/>
    </row>
    <row r="81" spans="1:22" s="694" customFormat="1" hidden="1" outlineLevel="1">
      <c r="A81" s="749"/>
      <c r="B81" s="749"/>
      <c r="C81" s="749"/>
      <c r="D81" s="749"/>
      <c r="E81" s="749"/>
      <c r="F81" s="749"/>
      <c r="G81" s="749"/>
      <c r="H81" s="749"/>
      <c r="I81" s="749"/>
      <c r="J81" s="749"/>
      <c r="K81" s="749"/>
      <c r="L81" s="749"/>
      <c r="M81" s="749"/>
      <c r="N81" s="749"/>
      <c r="O81" s="749"/>
      <c r="P81" s="749"/>
      <c r="Q81" s="749"/>
      <c r="R81" s="749"/>
      <c r="S81" s="749"/>
      <c r="T81" s="749"/>
      <c r="U81" s="749"/>
      <c r="V81" s="749"/>
    </row>
    <row r="82" spans="1:22" s="613" customFormat="1" hidden="1" outlineLevel="1">
      <c r="A82" s="536" t="s">
        <v>531</v>
      </c>
    </row>
    <row r="83" spans="1:22" s="613" customFormat="1" hidden="1" outlineLevel="1"/>
    <row r="84" spans="1:22" s="694" customFormat="1" collapsed="1"/>
    <row r="85" spans="1:22" s="694" customFormat="1"/>
    <row r="86" spans="1:22" s="694" customFormat="1"/>
    <row r="87" spans="1:22" s="694" customFormat="1"/>
    <row r="88" spans="1:22" s="694" customFormat="1"/>
    <row r="89" spans="1:22" s="694" customFormat="1"/>
    <row r="90" spans="1:22" s="694" customFormat="1"/>
    <row r="91" spans="1:22" s="694" customFormat="1"/>
    <row r="92" spans="1:22" s="694" customFormat="1"/>
    <row r="93" spans="1:22" s="694" customFormat="1"/>
    <row r="94" spans="1:22" s="694" customFormat="1"/>
    <row r="95" spans="1:22" s="694" customFormat="1"/>
    <row r="96" spans="1:22" s="694" customFormat="1"/>
    <row r="97" spans="1:61" s="694" customFormat="1"/>
    <row r="98" spans="1:61">
      <c r="A98" s="834" t="s">
        <v>802</v>
      </c>
      <c r="B98" s="834"/>
      <c r="C98" s="834"/>
      <c r="D98" s="834"/>
      <c r="E98" s="834"/>
      <c r="F98" s="834"/>
      <c r="G98" s="834"/>
      <c r="H98" s="834"/>
      <c r="I98" s="834"/>
      <c r="J98" s="834"/>
      <c r="K98" s="834"/>
      <c r="L98" s="834"/>
      <c r="M98" s="834"/>
      <c r="N98" s="834"/>
      <c r="O98" s="834"/>
      <c r="P98" s="834"/>
      <c r="Q98" s="834"/>
      <c r="R98" s="834"/>
      <c r="S98" s="834"/>
      <c r="T98" s="834"/>
      <c r="U98" s="834"/>
      <c r="V98" s="834"/>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69"/>
      <c r="AZ98" s="369"/>
      <c r="BA98" s="369"/>
      <c r="BB98" s="369"/>
      <c r="BC98" s="369"/>
      <c r="BD98" s="369"/>
      <c r="BE98" s="369"/>
      <c r="BF98" s="369"/>
      <c r="BG98" s="369"/>
      <c r="BH98" s="369"/>
      <c r="BI98" s="369"/>
    </row>
    <row r="99" spans="1:61" s="694" customFormat="1">
      <c r="A99" s="835"/>
      <c r="B99" s="835"/>
      <c r="C99" s="835"/>
      <c r="D99" s="835"/>
      <c r="E99" s="835"/>
      <c r="F99" s="835"/>
      <c r="G99" s="835"/>
      <c r="H99" s="835"/>
      <c r="I99" s="835"/>
      <c r="J99" s="835"/>
      <c r="K99" s="835"/>
      <c r="L99" s="835"/>
      <c r="M99" s="835"/>
      <c r="N99" s="835"/>
      <c r="O99" s="835"/>
      <c r="P99" s="835"/>
      <c r="Q99" s="835"/>
      <c r="R99" s="835"/>
      <c r="S99" s="835"/>
      <c r="T99" s="835"/>
      <c r="U99" s="835"/>
      <c r="V99" s="835"/>
    </row>
    <row r="100" spans="1:61">
      <c r="A100" s="721" t="s">
        <v>211</v>
      </c>
      <c r="B100" s="685" t="s">
        <v>328</v>
      </c>
      <c r="C100" s="671"/>
      <c r="D100" s="671"/>
      <c r="E100" s="671"/>
      <c r="F100" s="671"/>
      <c r="G100" s="671"/>
      <c r="H100" s="671"/>
      <c r="I100" s="671"/>
      <c r="J100" s="671"/>
      <c r="K100" s="671"/>
      <c r="L100" s="671"/>
      <c r="M100" s="671"/>
      <c r="N100" s="671"/>
      <c r="O100" s="671"/>
      <c r="P100" s="674"/>
      <c r="Q100" s="6"/>
      <c r="R100" s="6"/>
      <c r="S100" s="6"/>
      <c r="T100" s="6">
        <v>2020</v>
      </c>
      <c r="U100" s="6">
        <f>T100+1</f>
        <v>2021</v>
      </c>
      <c r="V100" s="6">
        <f t="shared" ref="V100:BI100" si="3">U100+1</f>
        <v>2022</v>
      </c>
      <c r="W100" s="6">
        <f t="shared" si="3"/>
        <v>2023</v>
      </c>
      <c r="X100" s="6">
        <f t="shared" si="3"/>
        <v>2024</v>
      </c>
      <c r="Y100" s="6">
        <f t="shared" si="3"/>
        <v>2025</v>
      </c>
      <c r="Z100" s="6">
        <f t="shared" si="3"/>
        <v>2026</v>
      </c>
      <c r="AA100" s="6">
        <f t="shared" si="3"/>
        <v>2027</v>
      </c>
      <c r="AB100" s="6">
        <f t="shared" si="3"/>
        <v>2028</v>
      </c>
      <c r="AC100" s="6">
        <f t="shared" si="3"/>
        <v>2029</v>
      </c>
      <c r="AD100" s="6">
        <f t="shared" si="3"/>
        <v>2030</v>
      </c>
      <c r="AE100" s="6">
        <f t="shared" si="3"/>
        <v>2031</v>
      </c>
      <c r="AF100" s="6">
        <f t="shared" si="3"/>
        <v>2032</v>
      </c>
      <c r="AG100" s="6">
        <f t="shared" si="3"/>
        <v>2033</v>
      </c>
      <c r="AH100" s="6">
        <f t="shared" si="3"/>
        <v>2034</v>
      </c>
      <c r="AI100" s="6">
        <f t="shared" si="3"/>
        <v>2035</v>
      </c>
      <c r="AJ100" s="6">
        <f t="shared" si="3"/>
        <v>2036</v>
      </c>
      <c r="AK100" s="6">
        <f t="shared" si="3"/>
        <v>2037</v>
      </c>
      <c r="AL100" s="6">
        <f t="shared" si="3"/>
        <v>2038</v>
      </c>
      <c r="AM100" s="6">
        <f t="shared" si="3"/>
        <v>2039</v>
      </c>
      <c r="AN100" s="6">
        <f t="shared" si="3"/>
        <v>2040</v>
      </c>
      <c r="AO100" s="6">
        <f t="shared" si="3"/>
        <v>2041</v>
      </c>
      <c r="AP100" s="6">
        <f t="shared" si="3"/>
        <v>2042</v>
      </c>
      <c r="AQ100" s="6">
        <f t="shared" si="3"/>
        <v>2043</v>
      </c>
      <c r="AR100" s="6">
        <f t="shared" si="3"/>
        <v>2044</v>
      </c>
      <c r="AS100" s="6">
        <f t="shared" si="3"/>
        <v>2045</v>
      </c>
      <c r="AT100" s="6">
        <f t="shared" si="3"/>
        <v>2046</v>
      </c>
      <c r="AU100" s="6">
        <f t="shared" si="3"/>
        <v>2047</v>
      </c>
      <c r="AV100" s="6">
        <f t="shared" si="3"/>
        <v>2048</v>
      </c>
      <c r="AW100" s="6">
        <f t="shared" si="3"/>
        <v>2049</v>
      </c>
      <c r="AX100" s="6">
        <f t="shared" si="3"/>
        <v>2050</v>
      </c>
      <c r="AY100" s="6">
        <f t="shared" si="3"/>
        <v>2051</v>
      </c>
      <c r="AZ100" s="6">
        <f t="shared" si="3"/>
        <v>2052</v>
      </c>
      <c r="BA100" s="6">
        <f t="shared" si="3"/>
        <v>2053</v>
      </c>
      <c r="BB100" s="6">
        <f t="shared" si="3"/>
        <v>2054</v>
      </c>
      <c r="BC100" s="6">
        <f t="shared" si="3"/>
        <v>2055</v>
      </c>
      <c r="BD100" s="6">
        <f t="shared" si="3"/>
        <v>2056</v>
      </c>
      <c r="BE100" s="6">
        <f t="shared" si="3"/>
        <v>2057</v>
      </c>
      <c r="BF100" s="6">
        <f t="shared" si="3"/>
        <v>2058</v>
      </c>
      <c r="BG100" s="6">
        <f t="shared" si="3"/>
        <v>2059</v>
      </c>
      <c r="BH100" s="6">
        <f t="shared" si="3"/>
        <v>2060</v>
      </c>
      <c r="BI100" s="6">
        <f t="shared" si="3"/>
        <v>2061</v>
      </c>
    </row>
    <row r="101" spans="1:61">
      <c r="A101" s="723"/>
      <c r="B101" s="686" t="s">
        <v>530</v>
      </c>
      <c r="C101" s="681"/>
      <c r="D101" s="681"/>
      <c r="E101" s="681"/>
      <c r="F101" s="681"/>
      <c r="G101" s="681"/>
      <c r="H101" s="681"/>
      <c r="I101" s="681"/>
      <c r="J101" s="681"/>
      <c r="K101" s="681"/>
      <c r="L101" s="681"/>
      <c r="M101" s="681"/>
      <c r="N101" s="681"/>
      <c r="O101" s="681"/>
      <c r="P101" s="687"/>
      <c r="Q101" s="683">
        <f>DATE(2016,12,31)</f>
        <v>42735</v>
      </c>
      <c r="R101" s="683">
        <f>DATE(YEAR(Q101+1),12,31)</f>
        <v>43100</v>
      </c>
      <c r="S101" s="683">
        <f t="shared" ref="S101" si="4">DATE(YEAR(R101+1),12,31)</f>
        <v>43465</v>
      </c>
      <c r="T101" s="683">
        <f>DATE(YEAR(S101+1),12,31)</f>
        <v>43830</v>
      </c>
      <c r="U101" s="683">
        <f t="shared" ref="U101:BI101" si="5">DATE(YEAR(T101+1),12,31)</f>
        <v>44196</v>
      </c>
      <c r="V101" s="683">
        <f t="shared" si="5"/>
        <v>44561</v>
      </c>
      <c r="W101" s="683">
        <f t="shared" si="5"/>
        <v>44926</v>
      </c>
      <c r="X101" s="683">
        <f t="shared" si="5"/>
        <v>45291</v>
      </c>
      <c r="Y101" s="683">
        <f t="shared" si="5"/>
        <v>45657</v>
      </c>
      <c r="Z101" s="683">
        <f t="shared" si="5"/>
        <v>46022</v>
      </c>
      <c r="AA101" s="683">
        <f t="shared" si="5"/>
        <v>46387</v>
      </c>
      <c r="AB101" s="683">
        <f t="shared" si="5"/>
        <v>46752</v>
      </c>
      <c r="AC101" s="683">
        <f t="shared" si="5"/>
        <v>47118</v>
      </c>
      <c r="AD101" s="683">
        <f t="shared" si="5"/>
        <v>47483</v>
      </c>
      <c r="AE101" s="683">
        <f t="shared" si="5"/>
        <v>47848</v>
      </c>
      <c r="AF101" s="683">
        <f t="shared" si="5"/>
        <v>48213</v>
      </c>
      <c r="AG101" s="683">
        <f t="shared" si="5"/>
        <v>48579</v>
      </c>
      <c r="AH101" s="683">
        <f t="shared" si="5"/>
        <v>48944</v>
      </c>
      <c r="AI101" s="683">
        <f t="shared" si="5"/>
        <v>49309</v>
      </c>
      <c r="AJ101" s="683">
        <f t="shared" si="5"/>
        <v>49674</v>
      </c>
      <c r="AK101" s="683">
        <f t="shared" si="5"/>
        <v>50040</v>
      </c>
      <c r="AL101" s="683">
        <f t="shared" si="5"/>
        <v>50405</v>
      </c>
      <c r="AM101" s="683">
        <f t="shared" si="5"/>
        <v>50770</v>
      </c>
      <c r="AN101" s="683">
        <f t="shared" si="5"/>
        <v>51135</v>
      </c>
      <c r="AO101" s="683">
        <f t="shared" si="5"/>
        <v>51501</v>
      </c>
      <c r="AP101" s="683">
        <f t="shared" si="5"/>
        <v>51866</v>
      </c>
      <c r="AQ101" s="683">
        <f t="shared" si="5"/>
        <v>52231</v>
      </c>
      <c r="AR101" s="683">
        <f t="shared" si="5"/>
        <v>52596</v>
      </c>
      <c r="AS101" s="683">
        <f t="shared" si="5"/>
        <v>52962</v>
      </c>
      <c r="AT101" s="683">
        <f t="shared" si="5"/>
        <v>53327</v>
      </c>
      <c r="AU101" s="683">
        <f t="shared" si="5"/>
        <v>53692</v>
      </c>
      <c r="AV101" s="683">
        <f t="shared" si="5"/>
        <v>54057</v>
      </c>
      <c r="AW101" s="683">
        <f t="shared" si="5"/>
        <v>54423</v>
      </c>
      <c r="AX101" s="683">
        <f t="shared" si="5"/>
        <v>54788</v>
      </c>
      <c r="AY101" s="683">
        <f t="shared" si="5"/>
        <v>55153</v>
      </c>
      <c r="AZ101" s="683">
        <f t="shared" si="5"/>
        <v>55518</v>
      </c>
      <c r="BA101" s="683">
        <f t="shared" si="5"/>
        <v>55884</v>
      </c>
      <c r="BB101" s="683">
        <f t="shared" si="5"/>
        <v>56249</v>
      </c>
      <c r="BC101" s="683">
        <f t="shared" si="5"/>
        <v>56614</v>
      </c>
      <c r="BD101" s="683">
        <f t="shared" si="5"/>
        <v>56979</v>
      </c>
      <c r="BE101" s="683">
        <f t="shared" si="5"/>
        <v>57345</v>
      </c>
      <c r="BF101" s="683">
        <f t="shared" si="5"/>
        <v>57710</v>
      </c>
      <c r="BG101" s="683">
        <f t="shared" si="5"/>
        <v>58075</v>
      </c>
      <c r="BH101" s="683">
        <f t="shared" si="5"/>
        <v>58440</v>
      </c>
      <c r="BI101" s="683">
        <f t="shared" si="5"/>
        <v>58806</v>
      </c>
    </row>
    <row r="102" spans="1:61">
      <c r="A102" s="356" t="s">
        <v>511</v>
      </c>
      <c r="B102" s="353"/>
      <c r="C102" s="353"/>
      <c r="D102" s="353"/>
      <c r="E102" s="353"/>
      <c r="F102" s="353"/>
      <c r="G102" s="353"/>
      <c r="H102" s="353"/>
      <c r="I102" s="353"/>
      <c r="J102" s="353"/>
      <c r="K102" s="353"/>
      <c r="L102" s="353"/>
      <c r="M102" s="353"/>
      <c r="N102" s="353"/>
      <c r="O102" s="353"/>
      <c r="P102" s="353"/>
      <c r="Q102" s="362">
        <f>Q13*$B$70*$Q$73*$Q$77/100</f>
        <v>2.9640024594351597E-2</v>
      </c>
      <c r="R102" s="363">
        <f>Q102*Indeksacja!R$61</f>
        <v>3.1393747445713494E-2</v>
      </c>
      <c r="S102" s="354">
        <f>R102*Indeksacja!S$61</f>
        <v>3.3274763788121567E-2</v>
      </c>
      <c r="T102" s="354">
        <f>S102*Indeksacja!T$61</f>
        <v>3.5320940851114487E-2</v>
      </c>
      <c r="U102" s="354">
        <f>T102*Indeksacja!U$61</f>
        <v>3.5877092757177501E-2</v>
      </c>
      <c r="V102" s="354">
        <f>U102*Indeksacja!V$61</f>
        <v>3.9495214246357005E-2</v>
      </c>
      <c r="W102" s="354">
        <f>V102*Indeksacja!W$61</f>
        <v>4.0758796351502209E-2</v>
      </c>
      <c r="X102" s="354">
        <f>W102*Indeksacja!X$61</f>
        <v>4.1872181099923793E-2</v>
      </c>
      <c r="Y102" s="354">
        <f>X102*Indeksacja!Y$61</f>
        <v>4.2954872193143312E-2</v>
      </c>
      <c r="Z102" s="354">
        <f>Y102*Indeksacja!Z$61</f>
        <v>4.4106373827450883E-2</v>
      </c>
      <c r="AA102" s="354">
        <f>Z102*Indeksacja!AA$61</f>
        <v>4.5259963018082994E-2</v>
      </c>
      <c r="AB102" s="354">
        <f>AA102*Indeksacja!AB$61</f>
        <v>4.6450529096950938E-2</v>
      </c>
      <c r="AC102" s="354">
        <f>AB102*Indeksacja!AC$61</f>
        <v>4.7642079667928099E-2</v>
      </c>
      <c r="AD102" s="354">
        <f>AC102*Indeksacja!AD$61</f>
        <v>4.8832906947022983E-2</v>
      </c>
      <c r="AE102" s="354">
        <f>AD102*Indeksacja!AE$61</f>
        <v>5.0021195000442005E-2</v>
      </c>
      <c r="AF102" s="354">
        <f>AE102*Indeksacja!AF$61</f>
        <v>5.124632312710832E-2</v>
      </c>
      <c r="AG102" s="354">
        <f>AF102*Indeksacja!AG$61</f>
        <v>5.2467937160326092E-2</v>
      </c>
      <c r="AH102" s="354">
        <f>AG102*Indeksacja!AH$61</f>
        <v>5.3725907614328682E-2</v>
      </c>
      <c r="AI102" s="354">
        <f>AH102*Indeksacja!AI$61</f>
        <v>5.497762405119741E-2</v>
      </c>
      <c r="AJ102" s="354">
        <f>AI102*Indeksacja!AJ$61</f>
        <v>5.6220363011465067E-2</v>
      </c>
      <c r="AK102" s="354">
        <f>AJ102*Indeksacja!AK$61</f>
        <v>5.7452139040311927E-2</v>
      </c>
      <c r="AL102" s="354">
        <f>AK102*Indeksacja!AL$61</f>
        <v>5.8670235210108772E-2</v>
      </c>
      <c r="AM102" s="354">
        <f>AL102*Indeksacja!AM$61</f>
        <v>5.9871891633195569E-2</v>
      </c>
      <c r="AN102" s="354">
        <f>AM102*Indeksacja!AN$61</f>
        <v>6.1054234426912074E-2</v>
      </c>
      <c r="AO102" s="354">
        <f>AN102*Indeksacja!AO$61</f>
        <v>6.2263824725794295E-2</v>
      </c>
      <c r="AP102" s="354">
        <f>AO102*Indeksacja!AP$61</f>
        <v>6.3400366475423103E-2</v>
      </c>
      <c r="AQ102" s="354">
        <f>AP102*Indeksacja!AQ$61</f>
        <v>6.4560761441081305E-2</v>
      </c>
      <c r="AR102" s="354">
        <f>AQ102*Indeksacja!AR$61</f>
        <v>6.5745063920395613E-2</v>
      </c>
      <c r="AS102" s="354">
        <f>AR102*Indeksacja!AS$61</f>
        <v>6.6900985047931877E-2</v>
      </c>
      <c r="AT102" s="354">
        <f>AS102*Indeksacja!AT$61</f>
        <v>6.8026000164655084E-2</v>
      </c>
      <c r="AU102" s="354">
        <f>AT102*Indeksacja!AU$61</f>
        <v>6.9117615114053829E-2</v>
      </c>
      <c r="AV102" s="354">
        <f>AU102*Indeksacja!AV$61</f>
        <v>7.0229182477795762E-2</v>
      </c>
      <c r="AW102" s="354">
        <f>AV102*Indeksacja!AW$61</f>
        <v>7.1360517800084858E-2</v>
      </c>
      <c r="AX102" s="354">
        <f>AW102*Indeksacja!AX$61</f>
        <v>7.2511823798742658E-2</v>
      </c>
      <c r="AY102" s="354">
        <f>AX102*Indeksacja!AY$61</f>
        <v>7.3624662061363089E-2</v>
      </c>
      <c r="AZ102" s="354">
        <f>AY102*Indeksacja!AZ$61</f>
        <v>7.4744755215062061E-2</v>
      </c>
      <c r="BA102" s="354">
        <f>AZ102*Indeksacja!BA$61</f>
        <v>7.5881888972246833E-2</v>
      </c>
      <c r="BB102" s="354">
        <f>BA102*Indeksacja!BB$61</f>
        <v>7.7036322581147065E-2</v>
      </c>
      <c r="BC102" s="354">
        <f>BB102*Indeksacja!BC$61</f>
        <v>7.8208319234080712E-2</v>
      </c>
      <c r="BD102" s="354">
        <f>BC102*Indeksacja!BD$61</f>
        <v>7.9398146127457644E-2</v>
      </c>
      <c r="BE102" s="354">
        <f>BD102*Indeksacja!BE$61</f>
        <v>8.0669907308985253E-2</v>
      </c>
      <c r="BF102" s="354">
        <f>BE102*Indeksacja!BF$61</f>
        <v>8.196203894727698E-2</v>
      </c>
      <c r="BG102" s="354">
        <f>BF102*Indeksacja!BG$61</f>
        <v>8.3274867326477056E-2</v>
      </c>
      <c r="BH102" s="354">
        <f>BG102*Indeksacja!BH$61</f>
        <v>8.467567346486525E-2</v>
      </c>
      <c r="BI102" s="354">
        <f>BH102*Indeksacja!BI$61</f>
        <v>8.6100043229355105E-2</v>
      </c>
    </row>
    <row r="103" spans="1:61">
      <c r="A103" s="356" t="s">
        <v>512</v>
      </c>
      <c r="B103" s="353"/>
      <c r="C103" s="353"/>
      <c r="D103" s="353"/>
      <c r="E103" s="353"/>
      <c r="F103" s="353"/>
      <c r="G103" s="353"/>
      <c r="H103" s="353"/>
      <c r="I103" s="353"/>
      <c r="J103" s="353"/>
      <c r="K103" s="353"/>
      <c r="L103" s="353"/>
      <c r="M103" s="353"/>
      <c r="N103" s="353"/>
      <c r="O103" s="353"/>
      <c r="P103" s="353"/>
      <c r="Q103" s="362">
        <f>Q16*$B$70*$Q$73*$Q$77/100</f>
        <v>0.23538805391701523</v>
      </c>
      <c r="R103" s="363">
        <f>Q103*Indeksacja!R$61</f>
        <v>0.24931535035962826</v>
      </c>
      <c r="S103" s="354">
        <f>R103*Indeksacja!S$61</f>
        <v>0.26425355578574372</v>
      </c>
      <c r="T103" s="354">
        <f>S103*Indeksacja!T$61</f>
        <v>0.28050339509658301</v>
      </c>
      <c r="U103" s="354">
        <f>T103*Indeksacja!U$61</f>
        <v>0.2849201092067109</v>
      </c>
      <c r="V103" s="354">
        <f>U103*Indeksacja!V$61</f>
        <v>0.31365364056604705</v>
      </c>
      <c r="W103" s="354">
        <f>V103*Indeksacja!W$61</f>
        <v>0.32368845453010753</v>
      </c>
      <c r="X103" s="354">
        <f>W103*Indeksacja!X$61</f>
        <v>0.33253046707154738</v>
      </c>
      <c r="Y103" s="354">
        <f>X103*Indeksacja!Y$61</f>
        <v>0.34112872408766315</v>
      </c>
      <c r="Z103" s="354">
        <f>Y103*Indeksacja!Z$61</f>
        <v>0.35027344419135614</v>
      </c>
      <c r="AA103" s="354">
        <f>Z103*Indeksacja!AA$61</f>
        <v>0.35943474275027648</v>
      </c>
      <c r="AB103" s="354">
        <f>AA103*Indeksacja!AB$61</f>
        <v>0.36888969551093453</v>
      </c>
      <c r="AC103" s="354">
        <f>AB103*Indeksacja!AC$61</f>
        <v>0.37835246667541839</v>
      </c>
      <c r="AD103" s="354">
        <f>AC103*Indeksacja!AD$61</f>
        <v>0.38780949377352875</v>
      </c>
      <c r="AE103" s="354">
        <f>AD103*Indeksacja!AE$61</f>
        <v>0.39724635545685016</v>
      </c>
      <c r="AF103" s="354">
        <f>AE103*Indeksacja!AF$61</f>
        <v>0.40697578481737567</v>
      </c>
      <c r="AG103" s="354">
        <f>AF103*Indeksacja!AG$61</f>
        <v>0.41667730679153914</v>
      </c>
      <c r="AH103" s="354">
        <f>AG103*Indeksacja!AH$61</f>
        <v>0.42666755548752716</v>
      </c>
      <c r="AI103" s="354">
        <f>AH103*Indeksacja!AI$61</f>
        <v>0.43660813752694355</v>
      </c>
      <c r="AJ103" s="354">
        <f>AI103*Indeksacja!AJ$61</f>
        <v>0.44647742439116583</v>
      </c>
      <c r="AK103" s="354">
        <f>AJ103*Indeksacja!AK$61</f>
        <v>0.45625964847026279</v>
      </c>
      <c r="AL103" s="354">
        <f>AK103*Indeksacja!AL$61</f>
        <v>0.46593323311859974</v>
      </c>
      <c r="AM103" s="354">
        <f>AL103*Indeksacja!AM$61</f>
        <v>0.47547626052085051</v>
      </c>
      <c r="AN103" s="354">
        <f>AM103*Indeksacja!AN$61</f>
        <v>0.48486590756347719</v>
      </c>
      <c r="AO103" s="354">
        <f>AN103*Indeksacja!AO$61</f>
        <v>0.49447194232179675</v>
      </c>
      <c r="AP103" s="354">
        <f>AO103*Indeksacja!AP$61</f>
        <v>0.50349785759352528</v>
      </c>
      <c r="AQ103" s="354">
        <f>AP103*Indeksacja!AQ$61</f>
        <v>0.5127132046277999</v>
      </c>
      <c r="AR103" s="354">
        <f>AQ103*Indeksacja!AR$61</f>
        <v>0.52211841463251818</v>
      </c>
      <c r="AS103" s="354">
        <f>AR103*Indeksacja!AS$61</f>
        <v>0.53129823240986829</v>
      </c>
      <c r="AT103" s="354">
        <f>AS103*Indeksacja!AT$61</f>
        <v>0.54023260822692365</v>
      </c>
      <c r="AU103" s="354">
        <f>AT103*Indeksacja!AU$61</f>
        <v>0.54890173458839964</v>
      </c>
      <c r="AV103" s="354">
        <f>AU103*Indeksacja!AV$61</f>
        <v>0.55772931425912442</v>
      </c>
      <c r="AW103" s="354">
        <f>AV103*Indeksacja!AW$61</f>
        <v>0.56671388237220077</v>
      </c>
      <c r="AX103" s="354">
        <f>AW103*Indeksacja!AX$61</f>
        <v>0.57585704882350963</v>
      </c>
      <c r="AY103" s="354">
        <f>AX103*Indeksacja!AY$61</f>
        <v>0.58469472141479806</v>
      </c>
      <c r="AZ103" s="354">
        <f>AY103*Indeksacja!AZ$61</f>
        <v>0.59359000916382432</v>
      </c>
      <c r="BA103" s="354">
        <f>AZ103*Indeksacja!BA$61</f>
        <v>0.60262062589948229</v>
      </c>
      <c r="BB103" s="354">
        <f>BA103*Indeksacja!BB$61</f>
        <v>0.61178863045731946</v>
      </c>
      <c r="BC103" s="354">
        <f>BB103*Indeksacja!BC$61</f>
        <v>0.62109611299509981</v>
      </c>
      <c r="BD103" s="354">
        <f>BC103*Indeksacja!BD$61</f>
        <v>0.63054519546932608</v>
      </c>
      <c r="BE103" s="354">
        <f>BD103*Indeksacja!BE$61</f>
        <v>0.64064496406479599</v>
      </c>
      <c r="BF103" s="354">
        <f>BE103*Indeksacja!BF$61</f>
        <v>0.65090650587876797</v>
      </c>
      <c r="BG103" s="354">
        <f>BF103*Indeksacja!BG$61</f>
        <v>0.66133241211657268</v>
      </c>
      <c r="BH103" s="354">
        <f>BG103*Indeksacja!BH$61</f>
        <v>0.67245699906759171</v>
      </c>
      <c r="BI103" s="354">
        <f>BH103*Indeksacja!BI$61</f>
        <v>0.68376871798517314</v>
      </c>
    </row>
    <row r="104" spans="1:61">
      <c r="A104" s="356" t="s">
        <v>783</v>
      </c>
      <c r="B104" s="353"/>
      <c r="C104" s="353"/>
      <c r="D104" s="353"/>
      <c r="E104" s="353"/>
      <c r="F104" s="353"/>
      <c r="G104" s="353"/>
      <c r="H104" s="353"/>
      <c r="I104" s="353"/>
      <c r="J104" s="353"/>
      <c r="K104" s="353"/>
      <c r="L104" s="353"/>
      <c r="M104" s="353"/>
      <c r="N104" s="353"/>
      <c r="O104" s="353"/>
      <c r="P104" s="353"/>
      <c r="Q104" s="362">
        <f>Q21*$B$70*$Q$73*$Q$77/100</f>
        <v>0.19941554167707334</v>
      </c>
      <c r="R104" s="363">
        <f>Q104*Indeksacja!R$61</f>
        <v>0.21121443851140453</v>
      </c>
      <c r="S104" s="354">
        <f>R104*Indeksacja!S$61</f>
        <v>0.22386975502879419</v>
      </c>
      <c r="T104" s="354">
        <f>S104*Indeksacja!T$61</f>
        <v>0.2376362586997019</v>
      </c>
      <c r="U104" s="354">
        <f>T104*Indeksacja!U$61</f>
        <v>0.24137800099310833</v>
      </c>
      <c r="V104" s="354">
        <f>U104*Indeksacja!V$61</f>
        <v>0.26572041185452461</v>
      </c>
      <c r="W104" s="354">
        <f>V104*Indeksacja!W$61</f>
        <v>0.27422168381362433</v>
      </c>
      <c r="X104" s="354">
        <f>W104*Indeksacja!X$61</f>
        <v>0.28171244084706459</v>
      </c>
      <c r="Y104" s="354">
        <f>X104*Indeksacja!Y$61</f>
        <v>0.28899669360252478</v>
      </c>
      <c r="Z104" s="354">
        <f>Y104*Indeksacja!Z$61</f>
        <v>0.29674389777290316</v>
      </c>
      <c r="AA104" s="354">
        <f>Z104*Indeksacja!AA$61</f>
        <v>0.30450514684307289</v>
      </c>
      <c r="AB104" s="354">
        <f>AA104*Indeksacja!AB$61</f>
        <v>0.31251517324382844</v>
      </c>
      <c r="AC104" s="354">
        <f>AB104*Indeksacja!AC$61</f>
        <v>0.32053182322300283</v>
      </c>
      <c r="AD104" s="354">
        <f>AC104*Indeksacja!AD$61</f>
        <v>0.32854360695646828</v>
      </c>
      <c r="AE104" s="354">
        <f>AD104*Indeksacja!AE$61</f>
        <v>0.33653830699751031</v>
      </c>
      <c r="AF104" s="354">
        <f>AE104*Indeksacja!AF$61</f>
        <v>0.34478086388963713</v>
      </c>
      <c r="AG104" s="354">
        <f>AF104*Indeksacja!AG$61</f>
        <v>0.35299977826263196</v>
      </c>
      <c r="AH104" s="354">
        <f>AG104*Indeksacja!AH$61</f>
        <v>0.36146329551445255</v>
      </c>
      <c r="AI104" s="354">
        <f>AH104*Indeksacja!AI$61</f>
        <v>0.36988473627573459</v>
      </c>
      <c r="AJ104" s="354">
        <f>AI104*Indeksacja!AJ$61</f>
        <v>0.37824577734491793</v>
      </c>
      <c r="AK104" s="354">
        <f>AJ104*Indeksacja!AK$61</f>
        <v>0.38653306075237304</v>
      </c>
      <c r="AL104" s="354">
        <f>AK104*Indeksacja!AL$61</f>
        <v>0.39472830724218516</v>
      </c>
      <c r="AM104" s="354">
        <f>AL104*Indeksacja!AM$61</f>
        <v>0.40281294852703936</v>
      </c>
      <c r="AN104" s="354">
        <f>AM104*Indeksacja!AN$61</f>
        <v>0.41076764937104243</v>
      </c>
      <c r="AO104" s="354">
        <f>AN104*Indeksacja!AO$61</f>
        <v>0.41890566909133975</v>
      </c>
      <c r="AP104" s="354">
        <f>AO104*Indeksacja!AP$61</f>
        <v>0.42655222444150059</v>
      </c>
      <c r="AQ104" s="354">
        <f>AP104*Indeksacja!AQ$61</f>
        <v>0.43435926218195431</v>
      </c>
      <c r="AR104" s="354">
        <f>AQ104*Indeksacja!AR$61</f>
        <v>0.44232714762247349</v>
      </c>
      <c r="AS104" s="354">
        <f>AR104*Indeksacja!AS$61</f>
        <v>0.45010408576400068</v>
      </c>
      <c r="AT104" s="354">
        <f>AS104*Indeksacja!AT$61</f>
        <v>0.45767309091722203</v>
      </c>
      <c r="AU104" s="354">
        <f>AT104*Indeksacja!AU$61</f>
        <v>0.46501738261118453</v>
      </c>
      <c r="AV104" s="354">
        <f>AU104*Indeksacja!AV$61</f>
        <v>0.47249591243647343</v>
      </c>
      <c r="AW104" s="354">
        <f>AV104*Indeksacja!AW$61</f>
        <v>0.48010743939032352</v>
      </c>
      <c r="AX104" s="354">
        <f>AW104*Indeksacja!AX$61</f>
        <v>0.4878533273408403</v>
      </c>
      <c r="AY104" s="354">
        <f>AX104*Indeksacja!AY$61</f>
        <v>0.49534040766471144</v>
      </c>
      <c r="AZ104" s="354">
        <f>AY104*Indeksacja!AZ$61</f>
        <v>0.50287629827312297</v>
      </c>
      <c r="BA104" s="354">
        <f>AZ104*Indeksacja!BA$61</f>
        <v>0.51052683659931253</v>
      </c>
      <c r="BB104" s="354">
        <f>BA104*Indeksacja!BB$61</f>
        <v>0.51829376684311967</v>
      </c>
      <c r="BC104" s="354">
        <f>BB104*Indeksacja!BC$61</f>
        <v>0.52617885973987177</v>
      </c>
      <c r="BD104" s="354">
        <f>BC104*Indeksacja!BD$61</f>
        <v>0.53418391296408285</v>
      </c>
      <c r="BE104" s="354">
        <f>BD104*Indeksacja!BE$61</f>
        <v>0.54274021304713116</v>
      </c>
      <c r="BF104" s="354">
        <f>BE104*Indeksacja!BF$61</f>
        <v>0.55143356381503617</v>
      </c>
      <c r="BG104" s="354">
        <f>BF104*Indeksacja!BG$61</f>
        <v>0.56026616047951761</v>
      </c>
      <c r="BH104" s="354">
        <f>BG104*Indeksacja!BH$61</f>
        <v>0.56969066395730772</v>
      </c>
      <c r="BI104" s="354">
        <f>BH104*Indeksacja!BI$61</f>
        <v>0.57927370148921042</v>
      </c>
    </row>
    <row r="105" spans="1:61" s="534" customFormat="1">
      <c r="A105" s="721" t="s">
        <v>212</v>
      </c>
      <c r="B105" s="685" t="s">
        <v>328</v>
      </c>
      <c r="C105" s="671"/>
      <c r="D105" s="671"/>
      <c r="E105" s="671"/>
      <c r="F105" s="671"/>
      <c r="G105" s="671"/>
      <c r="H105" s="671"/>
      <c r="I105" s="671"/>
      <c r="J105" s="671"/>
      <c r="K105" s="671"/>
      <c r="L105" s="671"/>
      <c r="M105" s="671"/>
      <c r="N105" s="671"/>
      <c r="O105" s="671"/>
      <c r="P105" s="674"/>
      <c r="Q105" s="6"/>
      <c r="R105" s="6"/>
      <c r="S105" s="6"/>
      <c r="T105" s="6">
        <v>2020</v>
      </c>
      <c r="U105" s="6">
        <f>T105+1</f>
        <v>2021</v>
      </c>
      <c r="V105" s="6">
        <f t="shared" ref="V105:BI105" si="6">U105+1</f>
        <v>2022</v>
      </c>
      <c r="W105" s="6">
        <f t="shared" si="6"/>
        <v>2023</v>
      </c>
      <c r="X105" s="6">
        <f t="shared" si="6"/>
        <v>2024</v>
      </c>
      <c r="Y105" s="6">
        <f t="shared" si="6"/>
        <v>2025</v>
      </c>
      <c r="Z105" s="6">
        <f t="shared" si="6"/>
        <v>2026</v>
      </c>
      <c r="AA105" s="6">
        <f t="shared" si="6"/>
        <v>2027</v>
      </c>
      <c r="AB105" s="6">
        <f t="shared" si="6"/>
        <v>2028</v>
      </c>
      <c r="AC105" s="6">
        <f t="shared" si="6"/>
        <v>2029</v>
      </c>
      <c r="AD105" s="6">
        <f t="shared" si="6"/>
        <v>2030</v>
      </c>
      <c r="AE105" s="6">
        <f t="shared" si="6"/>
        <v>2031</v>
      </c>
      <c r="AF105" s="6">
        <f t="shared" si="6"/>
        <v>2032</v>
      </c>
      <c r="AG105" s="6">
        <f t="shared" si="6"/>
        <v>2033</v>
      </c>
      <c r="AH105" s="6">
        <f t="shared" si="6"/>
        <v>2034</v>
      </c>
      <c r="AI105" s="6">
        <f t="shared" si="6"/>
        <v>2035</v>
      </c>
      <c r="AJ105" s="6">
        <f t="shared" si="6"/>
        <v>2036</v>
      </c>
      <c r="AK105" s="6">
        <f t="shared" si="6"/>
        <v>2037</v>
      </c>
      <c r="AL105" s="6">
        <f t="shared" si="6"/>
        <v>2038</v>
      </c>
      <c r="AM105" s="6">
        <f t="shared" si="6"/>
        <v>2039</v>
      </c>
      <c r="AN105" s="6">
        <f t="shared" si="6"/>
        <v>2040</v>
      </c>
      <c r="AO105" s="6">
        <f t="shared" si="6"/>
        <v>2041</v>
      </c>
      <c r="AP105" s="6">
        <f t="shared" si="6"/>
        <v>2042</v>
      </c>
      <c r="AQ105" s="6">
        <f t="shared" si="6"/>
        <v>2043</v>
      </c>
      <c r="AR105" s="6">
        <f t="shared" si="6"/>
        <v>2044</v>
      </c>
      <c r="AS105" s="6">
        <f t="shared" si="6"/>
        <v>2045</v>
      </c>
      <c r="AT105" s="6">
        <f t="shared" si="6"/>
        <v>2046</v>
      </c>
      <c r="AU105" s="6">
        <f t="shared" si="6"/>
        <v>2047</v>
      </c>
      <c r="AV105" s="6">
        <f t="shared" si="6"/>
        <v>2048</v>
      </c>
      <c r="AW105" s="6">
        <f t="shared" si="6"/>
        <v>2049</v>
      </c>
      <c r="AX105" s="6">
        <f t="shared" si="6"/>
        <v>2050</v>
      </c>
      <c r="AY105" s="6">
        <f t="shared" si="6"/>
        <v>2051</v>
      </c>
      <c r="AZ105" s="6">
        <f t="shared" si="6"/>
        <v>2052</v>
      </c>
      <c r="BA105" s="6">
        <f t="shared" si="6"/>
        <v>2053</v>
      </c>
      <c r="BB105" s="6">
        <f t="shared" si="6"/>
        <v>2054</v>
      </c>
      <c r="BC105" s="6">
        <f t="shared" si="6"/>
        <v>2055</v>
      </c>
      <c r="BD105" s="6">
        <f t="shared" si="6"/>
        <v>2056</v>
      </c>
      <c r="BE105" s="6">
        <f t="shared" si="6"/>
        <v>2057</v>
      </c>
      <c r="BF105" s="6">
        <f t="shared" si="6"/>
        <v>2058</v>
      </c>
      <c r="BG105" s="6">
        <f t="shared" si="6"/>
        <v>2059</v>
      </c>
      <c r="BH105" s="6">
        <f t="shared" si="6"/>
        <v>2060</v>
      </c>
      <c r="BI105" s="6">
        <f t="shared" si="6"/>
        <v>2061</v>
      </c>
    </row>
    <row r="106" spans="1:61">
      <c r="A106" s="723"/>
      <c r="B106" s="686" t="s">
        <v>530</v>
      </c>
      <c r="C106" s="681"/>
      <c r="D106" s="681"/>
      <c r="E106" s="681"/>
      <c r="F106" s="681"/>
      <c r="G106" s="681"/>
      <c r="H106" s="681"/>
      <c r="I106" s="681"/>
      <c r="J106" s="681"/>
      <c r="K106" s="681"/>
      <c r="L106" s="681"/>
      <c r="M106" s="681"/>
      <c r="N106" s="681"/>
      <c r="O106" s="681"/>
      <c r="P106" s="687"/>
      <c r="Q106" s="683">
        <f>DATE(2016,12,31)</f>
        <v>42735</v>
      </c>
      <c r="R106" s="683">
        <f>DATE(YEAR(Q106+1),12,31)</f>
        <v>43100</v>
      </c>
      <c r="S106" s="683">
        <f t="shared" ref="S106" si="7">DATE(YEAR(R106+1),12,31)</f>
        <v>43465</v>
      </c>
      <c r="T106" s="683">
        <f>DATE(YEAR(S106+1),12,31)</f>
        <v>43830</v>
      </c>
      <c r="U106" s="683">
        <f t="shared" ref="U106:BI106" si="8">DATE(YEAR(T106+1),12,31)</f>
        <v>44196</v>
      </c>
      <c r="V106" s="683">
        <f t="shared" si="8"/>
        <v>44561</v>
      </c>
      <c r="W106" s="683">
        <f t="shared" si="8"/>
        <v>44926</v>
      </c>
      <c r="X106" s="683">
        <f t="shared" si="8"/>
        <v>45291</v>
      </c>
      <c r="Y106" s="683">
        <f t="shared" si="8"/>
        <v>45657</v>
      </c>
      <c r="Z106" s="683">
        <f t="shared" si="8"/>
        <v>46022</v>
      </c>
      <c r="AA106" s="683">
        <f t="shared" si="8"/>
        <v>46387</v>
      </c>
      <c r="AB106" s="683">
        <f t="shared" si="8"/>
        <v>46752</v>
      </c>
      <c r="AC106" s="683">
        <f t="shared" si="8"/>
        <v>47118</v>
      </c>
      <c r="AD106" s="683">
        <f t="shared" si="8"/>
        <v>47483</v>
      </c>
      <c r="AE106" s="683">
        <f t="shared" si="8"/>
        <v>47848</v>
      </c>
      <c r="AF106" s="683">
        <f t="shared" si="8"/>
        <v>48213</v>
      </c>
      <c r="AG106" s="683">
        <f t="shared" si="8"/>
        <v>48579</v>
      </c>
      <c r="AH106" s="683">
        <f t="shared" si="8"/>
        <v>48944</v>
      </c>
      <c r="AI106" s="683">
        <f t="shared" si="8"/>
        <v>49309</v>
      </c>
      <c r="AJ106" s="683">
        <f t="shared" si="8"/>
        <v>49674</v>
      </c>
      <c r="AK106" s="683">
        <f t="shared" si="8"/>
        <v>50040</v>
      </c>
      <c r="AL106" s="683">
        <f t="shared" si="8"/>
        <v>50405</v>
      </c>
      <c r="AM106" s="683">
        <f t="shared" si="8"/>
        <v>50770</v>
      </c>
      <c r="AN106" s="683">
        <f t="shared" si="8"/>
        <v>51135</v>
      </c>
      <c r="AO106" s="683">
        <f t="shared" si="8"/>
        <v>51501</v>
      </c>
      <c r="AP106" s="683">
        <f t="shared" si="8"/>
        <v>51866</v>
      </c>
      <c r="AQ106" s="683">
        <f t="shared" si="8"/>
        <v>52231</v>
      </c>
      <c r="AR106" s="683">
        <f t="shared" si="8"/>
        <v>52596</v>
      </c>
      <c r="AS106" s="683">
        <f t="shared" si="8"/>
        <v>52962</v>
      </c>
      <c r="AT106" s="683">
        <f t="shared" si="8"/>
        <v>53327</v>
      </c>
      <c r="AU106" s="683">
        <f t="shared" si="8"/>
        <v>53692</v>
      </c>
      <c r="AV106" s="683">
        <f t="shared" si="8"/>
        <v>54057</v>
      </c>
      <c r="AW106" s="683">
        <f t="shared" si="8"/>
        <v>54423</v>
      </c>
      <c r="AX106" s="683">
        <f t="shared" si="8"/>
        <v>54788</v>
      </c>
      <c r="AY106" s="683">
        <f t="shared" si="8"/>
        <v>55153</v>
      </c>
      <c r="AZ106" s="683">
        <f t="shared" si="8"/>
        <v>55518</v>
      </c>
      <c r="BA106" s="683">
        <f t="shared" si="8"/>
        <v>55884</v>
      </c>
      <c r="BB106" s="683">
        <f t="shared" si="8"/>
        <v>56249</v>
      </c>
      <c r="BC106" s="683">
        <f t="shared" si="8"/>
        <v>56614</v>
      </c>
      <c r="BD106" s="683">
        <f t="shared" si="8"/>
        <v>56979</v>
      </c>
      <c r="BE106" s="683">
        <f t="shared" si="8"/>
        <v>57345</v>
      </c>
      <c r="BF106" s="683">
        <f t="shared" si="8"/>
        <v>57710</v>
      </c>
      <c r="BG106" s="683">
        <f t="shared" si="8"/>
        <v>58075</v>
      </c>
      <c r="BH106" s="683">
        <f t="shared" si="8"/>
        <v>58440</v>
      </c>
      <c r="BI106" s="683">
        <f t="shared" si="8"/>
        <v>58806</v>
      </c>
    </row>
    <row r="107" spans="1:61">
      <c r="A107" s="356" t="s">
        <v>214</v>
      </c>
      <c r="B107" s="353"/>
      <c r="C107" s="353"/>
      <c r="D107" s="353"/>
      <c r="E107" s="353"/>
      <c r="F107" s="353"/>
      <c r="G107" s="353"/>
      <c r="H107" s="353"/>
      <c r="I107" s="353"/>
      <c r="J107" s="353"/>
      <c r="K107" s="353"/>
      <c r="L107" s="353"/>
      <c r="M107" s="353"/>
      <c r="N107" s="353"/>
      <c r="O107" s="353"/>
      <c r="P107" s="353"/>
      <c r="Q107" s="362">
        <f>Q28*$B$70*$Q$73*$Q$77/100</f>
        <v>1.1200240468751863</v>
      </c>
      <c r="R107" s="363">
        <f>Q107*Indeksacja!R$61</f>
        <v>1.1862929448252291</v>
      </c>
      <c r="S107" s="354">
        <f>R107*Indeksacja!S$61</f>
        <v>1.2573719525148428</v>
      </c>
      <c r="T107" s="354">
        <f>S107*Indeksacja!T$61</f>
        <v>1.334691979946711</v>
      </c>
      <c r="U107" s="354">
        <f>T107*Indeksacja!U$61</f>
        <v>1.355707600447402</v>
      </c>
      <c r="V107" s="354">
        <f>U107*Indeksacja!V$61</f>
        <v>1.4924275636679842</v>
      </c>
      <c r="W107" s="354">
        <f>V107*Indeksacja!W$61</f>
        <v>1.5401752414223913</v>
      </c>
      <c r="X107" s="354">
        <f>W107*Indeksacja!X$61</f>
        <v>1.5822473283630307</v>
      </c>
      <c r="Y107" s="354">
        <f>X107*Indeksacja!Y$61</f>
        <v>1.6231595771327072</v>
      </c>
      <c r="Z107" s="354">
        <f>Y107*Indeksacja!Z$61</f>
        <v>1.666672007978879</v>
      </c>
      <c r="AA107" s="354">
        <f>Z107*Indeksacja!AA$61</f>
        <v>1.7102633224735866</v>
      </c>
      <c r="AB107" s="354">
        <f>AA107*Indeksacja!AB$61</f>
        <v>1.7552519031504095</v>
      </c>
      <c r="AC107" s="354">
        <f>AB107*Indeksacja!AC$61</f>
        <v>1.800277685376535</v>
      </c>
      <c r="AD107" s="354">
        <f>AC107*Indeksacja!AD$61</f>
        <v>1.8452761361711876</v>
      </c>
      <c r="AE107" s="354">
        <f>AD107*Indeksacja!AE$61</f>
        <v>1.8901786358370425</v>
      </c>
      <c r="AF107" s="354">
        <f>AE107*Indeksacja!AF$61</f>
        <v>1.936473231781167</v>
      </c>
      <c r="AG107" s="354">
        <f>AF107*Indeksacja!AG$61</f>
        <v>1.9826350387273335</v>
      </c>
      <c r="AH107" s="354">
        <f>AG107*Indeksacja!AH$61</f>
        <v>2.0301706659079497</v>
      </c>
      <c r="AI107" s="354">
        <f>AH107*Indeksacja!AI$61</f>
        <v>2.077469969074826</v>
      </c>
      <c r="AJ107" s="354">
        <f>AI107*Indeksacja!AJ$61</f>
        <v>2.1244300353547203</v>
      </c>
      <c r="AK107" s="354">
        <f>AJ107*Indeksacja!AK$61</f>
        <v>2.1709758392652816</v>
      </c>
      <c r="AL107" s="354">
        <f>AK107*Indeksacja!AL$61</f>
        <v>2.2170047147554528</v>
      </c>
      <c r="AM107" s="354">
        <f>AL107*Indeksacja!AM$61</f>
        <v>2.2624123724196683</v>
      </c>
      <c r="AN107" s="354">
        <f>AM107*Indeksacja!AN$61</f>
        <v>2.3070902152600699</v>
      </c>
      <c r="AO107" s="354">
        <f>AN107*Indeksacja!AO$61</f>
        <v>2.3527976746888721</v>
      </c>
      <c r="AP107" s="354">
        <f>AO107*Indeksacja!AP$61</f>
        <v>2.3957448080763544</v>
      </c>
      <c r="AQ107" s="354">
        <f>AP107*Indeksacja!AQ$61</f>
        <v>2.4395932961662652</v>
      </c>
      <c r="AR107" s="354">
        <f>AQ107*Indeksacja!AR$61</f>
        <v>2.484345190733138</v>
      </c>
      <c r="AS107" s="354">
        <f>AR107*Indeksacja!AS$61</f>
        <v>2.5280246234208699</v>
      </c>
      <c r="AT107" s="354">
        <f>AS107*Indeksacja!AT$61</f>
        <v>2.5705361935383997</v>
      </c>
      <c r="AU107" s="354">
        <f>AT107*Indeksacja!AU$61</f>
        <v>2.6117856530104415</v>
      </c>
      <c r="AV107" s="354">
        <f>AU107*Indeksacja!AV$61</f>
        <v>2.6537890654283207</v>
      </c>
      <c r="AW107" s="354">
        <f>AV107*Indeksacja!AW$61</f>
        <v>2.696539460658578</v>
      </c>
      <c r="AX107" s="354">
        <f>AW107*Indeksacja!AX$61</f>
        <v>2.7400444989119577</v>
      </c>
      <c r="AY107" s="354">
        <f>AX107*Indeksacja!AY$61</f>
        <v>2.7820959354905632</v>
      </c>
      <c r="AZ107" s="354">
        <f>AY107*Indeksacja!AZ$61</f>
        <v>2.8244215166617135</v>
      </c>
      <c r="BA107" s="354">
        <f>AZ107*Indeksacja!BA$61</f>
        <v>2.8673910205670232</v>
      </c>
      <c r="BB107" s="354">
        <f>BA107*Indeksacja!BB$61</f>
        <v>2.9110142435631192</v>
      </c>
      <c r="BC107" s="354">
        <f>BB107*Indeksacja!BC$61</f>
        <v>2.9553011310440787</v>
      </c>
      <c r="BD107" s="354">
        <f>BC107*Indeksacja!BD$61</f>
        <v>3.0002617797088207</v>
      </c>
      <c r="BE107" s="354">
        <f>BD107*Indeksacja!BE$61</f>
        <v>3.0483185247583768</v>
      </c>
      <c r="BF107" s="354">
        <f>BE107*Indeksacja!BF$61</f>
        <v>3.097145019554564</v>
      </c>
      <c r="BG107" s="354">
        <f>BF107*Indeksacja!BG$61</f>
        <v>3.1467535935772886</v>
      </c>
      <c r="BH107" s="354">
        <f>BG107*Indeksacja!BH$61</f>
        <v>3.1996866319764585</v>
      </c>
      <c r="BI107" s="354">
        <f>BH107*Indeksacja!BI$61</f>
        <v>3.2535100821828595</v>
      </c>
    </row>
    <row r="108" spans="1:61">
      <c r="A108" s="356" t="s">
        <v>219</v>
      </c>
      <c r="B108" s="353"/>
      <c r="C108" s="353"/>
      <c r="D108" s="353"/>
      <c r="E108" s="353"/>
      <c r="F108" s="353"/>
      <c r="G108" s="353"/>
      <c r="H108" s="353"/>
      <c r="I108" s="353"/>
      <c r="J108" s="353"/>
      <c r="K108" s="353"/>
      <c r="L108" s="353"/>
      <c r="M108" s="353"/>
      <c r="N108" s="353"/>
      <c r="O108" s="353"/>
      <c r="P108" s="353"/>
      <c r="Q108" s="362">
        <f>Q29*$B$70*$Q$73*$Q$77/100</f>
        <v>1.10603544046322</v>
      </c>
      <c r="R108" s="363">
        <f>Q108*Indeksacja!R$61</f>
        <v>1.1714766691026222</v>
      </c>
      <c r="S108" s="354">
        <f>R108*Indeksacja!S$61</f>
        <v>1.241667931332219</v>
      </c>
      <c r="T108" s="354">
        <f>S108*Indeksacja!T$61</f>
        <v>1.3180222657197955</v>
      </c>
      <c r="U108" s="354">
        <f>T108*Indeksacja!U$61</f>
        <v>1.338775410388376</v>
      </c>
      <c r="V108" s="354">
        <f>U108*Indeksacja!V$61</f>
        <v>1.473787801562191</v>
      </c>
      <c r="W108" s="354">
        <f>V108*Indeksacja!W$61</f>
        <v>1.520939131878295</v>
      </c>
      <c r="X108" s="354">
        <f>W108*Indeksacja!X$61</f>
        <v>1.5624857570069453</v>
      </c>
      <c r="Y108" s="354">
        <f>X108*Indeksacja!Y$61</f>
        <v>1.6028870298318962</v>
      </c>
      <c r="Z108" s="354">
        <f>Y108*Indeksacja!Z$61</f>
        <v>1.6458560096058941</v>
      </c>
      <c r="AA108" s="354">
        <f>Z108*Indeksacja!AA$61</f>
        <v>1.6889028878064454</v>
      </c>
      <c r="AB108" s="354">
        <f>AA108*Indeksacja!AB$61</f>
        <v>1.7333295809506952</v>
      </c>
      <c r="AC108" s="354">
        <f>AB108*Indeksacja!AC$61</f>
        <v>1.7777930110133031</v>
      </c>
      <c r="AD108" s="354">
        <f>AC108*Indeksacja!AD$61</f>
        <v>1.8222294510019639</v>
      </c>
      <c r="AE108" s="354">
        <f>AD108*Indeksacja!AE$61</f>
        <v>1.866571138249111</v>
      </c>
      <c r="AF108" s="354">
        <f>AE108*Indeksacja!AF$61</f>
        <v>1.9122875351059301</v>
      </c>
      <c r="AG108" s="354">
        <f>AF108*Indeksacja!AG$61</f>
        <v>1.9578728014408153</v>
      </c>
      <c r="AH108" s="354">
        <f>AG108*Indeksacja!AH$61</f>
        <v>2.0048147296012804</v>
      </c>
      <c r="AI108" s="354">
        <f>AH108*Indeksacja!AI$61</f>
        <v>2.0515232853307177</v>
      </c>
      <c r="AJ108" s="354">
        <f>AI108*Indeksacja!AJ$61</f>
        <v>2.0978968410922869</v>
      </c>
      <c r="AK108" s="354">
        <f>AJ108*Indeksacja!AK$61</f>
        <v>2.1438613084388254</v>
      </c>
      <c r="AL108" s="354">
        <f>AK108*Indeksacja!AL$61</f>
        <v>2.1893153035729775</v>
      </c>
      <c r="AM108" s="354">
        <f>AL108*Indeksacja!AM$61</f>
        <v>2.2341558396178613</v>
      </c>
      <c r="AN108" s="354">
        <f>AM108*Indeksacja!AN$61</f>
        <v>2.2782756759042306</v>
      </c>
      <c r="AO108" s="354">
        <f>AN108*Indeksacja!AO$61</f>
        <v>2.3234122693218753</v>
      </c>
      <c r="AP108" s="354">
        <f>AO108*Indeksacja!AP$61</f>
        <v>2.3658230119531449</v>
      </c>
      <c r="AQ108" s="354">
        <f>AP108*Indeksacja!AQ$61</f>
        <v>2.4091238517641096</v>
      </c>
      <c r="AR108" s="354">
        <f>AQ108*Indeksacja!AR$61</f>
        <v>2.4533168149035434</v>
      </c>
      <c r="AS108" s="354">
        <f>AR108*Indeksacja!AS$61</f>
        <v>2.4964507107397482</v>
      </c>
      <c r="AT108" s="354">
        <f>AS108*Indeksacja!AT$61</f>
        <v>2.5384313300942227</v>
      </c>
      <c r="AU108" s="354">
        <f>AT108*Indeksacja!AU$61</f>
        <v>2.5791656020085774</v>
      </c>
      <c r="AV108" s="354">
        <f>AU108*Indeksacja!AV$61</f>
        <v>2.6206444103289708</v>
      </c>
      <c r="AW108" s="354">
        <f>AV108*Indeksacja!AW$61</f>
        <v>2.6628608719758371</v>
      </c>
      <c r="AX108" s="354">
        <f>AW108*Indeksacja!AX$61</f>
        <v>2.7058225514872669</v>
      </c>
      <c r="AY108" s="354">
        <f>AX108*Indeksacja!AY$61</f>
        <v>2.7473487841677979</v>
      </c>
      <c r="AZ108" s="354">
        <f>AY108*Indeksacja!AZ$61</f>
        <v>2.7891457374958115</v>
      </c>
      <c r="BA108" s="354">
        <f>AZ108*Indeksacja!BA$61</f>
        <v>2.8315785712470065</v>
      </c>
      <c r="BB108" s="354">
        <f>BA108*Indeksacja!BB$61</f>
        <v>2.8746569594258355</v>
      </c>
      <c r="BC108" s="354">
        <f>BB108*Indeksacja!BC$61</f>
        <v>2.9183907232127897</v>
      </c>
      <c r="BD108" s="354">
        <f>BC108*Indeksacja!BD$61</f>
        <v>2.9627898332034714</v>
      </c>
      <c r="BE108" s="354">
        <f>BD108*Indeksacja!BE$61</f>
        <v>3.0102463707005076</v>
      </c>
      <c r="BF108" s="354">
        <f>BE108*Indeksacja!BF$61</f>
        <v>3.0584630441093013</v>
      </c>
      <c r="BG108" s="354">
        <f>BF108*Indeksacja!BG$61</f>
        <v>3.1074520289199916</v>
      </c>
      <c r="BH108" s="354">
        <f>BG108*Indeksacja!BH$61</f>
        <v>3.159723957013163</v>
      </c>
      <c r="BI108" s="354">
        <f>BH108*Indeksacja!BI$61</f>
        <v>3.212875176062767</v>
      </c>
    </row>
    <row r="109" spans="1:61">
      <c r="A109" s="356" t="s">
        <v>220</v>
      </c>
      <c r="B109" s="353"/>
      <c r="C109" s="353"/>
      <c r="D109" s="353"/>
      <c r="E109" s="353"/>
      <c r="F109" s="353"/>
      <c r="G109" s="353"/>
      <c r="H109" s="353"/>
      <c r="I109" s="353"/>
      <c r="J109" s="353"/>
      <c r="K109" s="353"/>
      <c r="L109" s="353"/>
      <c r="M109" s="353"/>
      <c r="N109" s="353"/>
      <c r="O109" s="353"/>
      <c r="P109" s="353"/>
      <c r="Q109" s="362">
        <f>Q30*$B$70*$Q$73*$Q$77/100</f>
        <v>4.4241417618528738</v>
      </c>
      <c r="R109" s="363">
        <f>Q109*Indeksacja!R$61</f>
        <v>4.6859066764104824</v>
      </c>
      <c r="S109" s="354">
        <f>R109*Indeksacja!S$61</f>
        <v>4.9666717253288688</v>
      </c>
      <c r="T109" s="354">
        <f>S109*Indeksacja!T$61</f>
        <v>5.2720890628791741</v>
      </c>
      <c r="U109" s="354">
        <f>T109*Indeksacja!U$61</f>
        <v>5.355101641553496</v>
      </c>
      <c r="V109" s="354">
        <f>U109*Indeksacja!V$61</f>
        <v>5.8951512062487552</v>
      </c>
      <c r="W109" s="354">
        <f>V109*Indeksacja!W$61</f>
        <v>6.0837565275131711</v>
      </c>
      <c r="X109" s="354">
        <f>W109*Indeksacja!X$61</f>
        <v>6.2499430280277712</v>
      </c>
      <c r="Y109" s="354">
        <f>X109*Indeksacja!Y$61</f>
        <v>6.4115481193275743</v>
      </c>
      <c r="Z109" s="354">
        <f>Y109*Indeksacja!Z$61</f>
        <v>6.5834240384235656</v>
      </c>
      <c r="AA109" s="354">
        <f>Z109*Indeksacja!AA$61</f>
        <v>6.75561155122577</v>
      </c>
      <c r="AB109" s="354">
        <f>AA109*Indeksacja!AB$61</f>
        <v>6.9333183238027694</v>
      </c>
      <c r="AC109" s="354">
        <f>AB109*Indeksacja!AC$61</f>
        <v>7.1111720440532</v>
      </c>
      <c r="AD109" s="354">
        <f>AC109*Indeksacja!AD$61</f>
        <v>7.2889178040078422</v>
      </c>
      <c r="AE109" s="354">
        <f>AD109*Indeksacja!AE$61</f>
        <v>7.4662845529964299</v>
      </c>
      <c r="AF109" s="354">
        <f>AE109*Indeksacja!AF$61</f>
        <v>7.6491501404237061</v>
      </c>
      <c r="AG109" s="354">
        <f>AF109*Indeksacja!AG$61</f>
        <v>7.8314912057632471</v>
      </c>
      <c r="AH109" s="354">
        <f>AG109*Indeksacja!AH$61</f>
        <v>8.0192589184051073</v>
      </c>
      <c r="AI109" s="354">
        <f>AH109*Indeksacja!AI$61</f>
        <v>8.2060931413228548</v>
      </c>
      <c r="AJ109" s="354">
        <f>AI109*Indeksacja!AJ$61</f>
        <v>8.3915873643691317</v>
      </c>
      <c r="AK109" s="354">
        <f>AJ109*Indeksacja!AK$61</f>
        <v>8.5754452337552856</v>
      </c>
      <c r="AL109" s="354">
        <f>AK109*Indeksacja!AL$61</f>
        <v>8.7572612142918942</v>
      </c>
      <c r="AM109" s="354">
        <f>AL109*Indeksacja!AM$61</f>
        <v>8.9366233584714294</v>
      </c>
      <c r="AN109" s="354">
        <f>AM109*Indeksacja!AN$61</f>
        <v>9.1131027036169066</v>
      </c>
      <c r="AO109" s="354">
        <f>AN109*Indeksacja!AO$61</f>
        <v>9.2936490772874851</v>
      </c>
      <c r="AP109" s="354">
        <f>AO109*Indeksacja!AP$61</f>
        <v>9.4632920478125637</v>
      </c>
      <c r="AQ109" s="354">
        <f>AP109*Indeksacja!AQ$61</f>
        <v>9.6364954070564224</v>
      </c>
      <c r="AR109" s="354">
        <f>AQ109*Indeksacja!AR$61</f>
        <v>9.8132672596141575</v>
      </c>
      <c r="AS109" s="354">
        <f>AR109*Indeksacja!AS$61</f>
        <v>9.9858028429589769</v>
      </c>
      <c r="AT109" s="354">
        <f>AS109*Indeksacja!AT$61</f>
        <v>10.153725320376875</v>
      </c>
      <c r="AU109" s="354">
        <f>AT109*Indeksacja!AU$61</f>
        <v>10.316662408034292</v>
      </c>
      <c r="AV109" s="354">
        <f>AU109*Indeksacja!AV$61</f>
        <v>10.482577641315865</v>
      </c>
      <c r="AW109" s="354">
        <f>AV109*Indeksacja!AW$61</f>
        <v>10.651443487903331</v>
      </c>
      <c r="AX109" s="354">
        <f>AW109*Indeksacja!AX$61</f>
        <v>10.82329020594905</v>
      </c>
      <c r="AY109" s="354">
        <f>AX109*Indeksacja!AY$61</f>
        <v>10.989395136671174</v>
      </c>
      <c r="AZ109" s="354">
        <f>AY109*Indeksacja!AZ$61</f>
        <v>11.156582949983227</v>
      </c>
      <c r="BA109" s="354">
        <f>AZ109*Indeksacja!BA$61</f>
        <v>11.326314284988007</v>
      </c>
      <c r="BB109" s="354">
        <f>BA109*Indeksacja!BB$61</f>
        <v>11.498627837703323</v>
      </c>
      <c r="BC109" s="354">
        <f>BB109*Indeksacja!BC$61</f>
        <v>11.673562892851139</v>
      </c>
      <c r="BD109" s="354">
        <f>BC109*Indeksacja!BD$61</f>
        <v>11.851159332813866</v>
      </c>
      <c r="BE109" s="354">
        <f>BD109*Indeksacja!BE$61</f>
        <v>12.040985482802011</v>
      </c>
      <c r="BF109" s="354">
        <f>BE109*Indeksacja!BF$61</f>
        <v>12.233852176437184</v>
      </c>
      <c r="BG109" s="354">
        <f>BF109*Indeksacja!BG$61</f>
        <v>12.429808115679945</v>
      </c>
      <c r="BH109" s="354">
        <f>BG109*Indeksacja!BH$61</f>
        <v>12.638895828052631</v>
      </c>
      <c r="BI109" s="354">
        <f>BH109*Indeksacja!BI$61</f>
        <v>12.851500704251047</v>
      </c>
    </row>
    <row r="110" spans="1:61">
      <c r="A110" s="356" t="s">
        <v>221</v>
      </c>
      <c r="B110" s="353"/>
      <c r="C110" s="353"/>
      <c r="D110" s="353"/>
      <c r="E110" s="353"/>
      <c r="F110" s="353"/>
      <c r="G110" s="353"/>
      <c r="H110" s="353"/>
      <c r="I110" s="353"/>
      <c r="J110" s="353"/>
      <c r="K110" s="353"/>
      <c r="L110" s="353"/>
      <c r="M110" s="353"/>
      <c r="N110" s="353"/>
      <c r="O110" s="353"/>
      <c r="P110" s="353"/>
      <c r="Q110" s="362">
        <f>Q31*$B$70*$Q$73*$Q$77/100</f>
        <v>4.4241417618528738</v>
      </c>
      <c r="R110" s="363">
        <f>Q110*Indeksacja!R$61</f>
        <v>4.6859066764104824</v>
      </c>
      <c r="S110" s="354">
        <f>R110*Indeksacja!S$61</f>
        <v>4.9666717253288688</v>
      </c>
      <c r="T110" s="354">
        <f>S110*Indeksacja!T$61</f>
        <v>5.2720890628791741</v>
      </c>
      <c r="U110" s="354">
        <f>T110*Indeksacja!U$61</f>
        <v>5.355101641553496</v>
      </c>
      <c r="V110" s="354">
        <f>U110*Indeksacja!V$61</f>
        <v>5.8951512062487552</v>
      </c>
      <c r="W110" s="354">
        <f>V110*Indeksacja!W$61</f>
        <v>6.0837565275131711</v>
      </c>
      <c r="X110" s="354">
        <f>W110*Indeksacja!X$61</f>
        <v>6.2499430280277712</v>
      </c>
      <c r="Y110" s="354">
        <f>X110*Indeksacja!Y$61</f>
        <v>6.4115481193275743</v>
      </c>
      <c r="Z110" s="354">
        <f>Y110*Indeksacja!Z$61</f>
        <v>6.5834240384235656</v>
      </c>
      <c r="AA110" s="354">
        <f>Z110*Indeksacja!AA$61</f>
        <v>6.75561155122577</v>
      </c>
      <c r="AB110" s="354">
        <f>AA110*Indeksacja!AB$61</f>
        <v>6.9333183238027694</v>
      </c>
      <c r="AC110" s="354">
        <f>AB110*Indeksacja!AC$61</f>
        <v>7.1111720440532</v>
      </c>
      <c r="AD110" s="354">
        <f>AC110*Indeksacja!AD$61</f>
        <v>7.2889178040078422</v>
      </c>
      <c r="AE110" s="354">
        <f>AD110*Indeksacja!AE$61</f>
        <v>7.4662845529964299</v>
      </c>
      <c r="AF110" s="354">
        <f>AE110*Indeksacja!AF$61</f>
        <v>7.6491501404237061</v>
      </c>
      <c r="AG110" s="354">
        <f>AF110*Indeksacja!AG$61</f>
        <v>7.8314912057632471</v>
      </c>
      <c r="AH110" s="354">
        <f>AG110*Indeksacja!AH$61</f>
        <v>8.0192589184051073</v>
      </c>
      <c r="AI110" s="354">
        <f>AH110*Indeksacja!AI$61</f>
        <v>8.2060931413228548</v>
      </c>
      <c r="AJ110" s="354">
        <f>AI110*Indeksacja!AJ$61</f>
        <v>8.3915873643691317</v>
      </c>
      <c r="AK110" s="354">
        <f>AJ110*Indeksacja!AK$61</f>
        <v>8.5754452337552856</v>
      </c>
      <c r="AL110" s="354">
        <f>AK110*Indeksacja!AL$61</f>
        <v>8.7572612142918942</v>
      </c>
      <c r="AM110" s="354">
        <f>AL110*Indeksacja!AM$61</f>
        <v>8.9366233584714294</v>
      </c>
      <c r="AN110" s="354">
        <f>AM110*Indeksacja!AN$61</f>
        <v>9.1131027036169066</v>
      </c>
      <c r="AO110" s="354">
        <f>AN110*Indeksacja!AO$61</f>
        <v>9.2936490772874851</v>
      </c>
      <c r="AP110" s="354">
        <f>AO110*Indeksacja!AP$61</f>
        <v>9.4632920478125637</v>
      </c>
      <c r="AQ110" s="354">
        <f>AP110*Indeksacja!AQ$61</f>
        <v>9.6364954070564224</v>
      </c>
      <c r="AR110" s="354">
        <f>AQ110*Indeksacja!AR$61</f>
        <v>9.8132672596141575</v>
      </c>
      <c r="AS110" s="354">
        <f>AR110*Indeksacja!AS$61</f>
        <v>9.9858028429589769</v>
      </c>
      <c r="AT110" s="354">
        <f>AS110*Indeksacja!AT$61</f>
        <v>10.153725320376875</v>
      </c>
      <c r="AU110" s="354">
        <f>AT110*Indeksacja!AU$61</f>
        <v>10.316662408034292</v>
      </c>
      <c r="AV110" s="354">
        <f>AU110*Indeksacja!AV$61</f>
        <v>10.482577641315865</v>
      </c>
      <c r="AW110" s="354">
        <f>AV110*Indeksacja!AW$61</f>
        <v>10.651443487903331</v>
      </c>
      <c r="AX110" s="354">
        <f>AW110*Indeksacja!AX$61</f>
        <v>10.82329020594905</v>
      </c>
      <c r="AY110" s="354">
        <f>AX110*Indeksacja!AY$61</f>
        <v>10.989395136671174</v>
      </c>
      <c r="AZ110" s="354">
        <f>AY110*Indeksacja!AZ$61</f>
        <v>11.156582949983227</v>
      </c>
      <c r="BA110" s="354">
        <f>AZ110*Indeksacja!BA$61</f>
        <v>11.326314284988007</v>
      </c>
      <c r="BB110" s="354">
        <f>BA110*Indeksacja!BB$61</f>
        <v>11.498627837703323</v>
      </c>
      <c r="BC110" s="354">
        <f>BB110*Indeksacja!BC$61</f>
        <v>11.673562892851139</v>
      </c>
      <c r="BD110" s="354">
        <f>BC110*Indeksacja!BD$61</f>
        <v>11.851159332813866</v>
      </c>
      <c r="BE110" s="354">
        <f>BD110*Indeksacja!BE$61</f>
        <v>12.040985482802011</v>
      </c>
      <c r="BF110" s="354">
        <f>BE110*Indeksacja!BF$61</f>
        <v>12.233852176437184</v>
      </c>
      <c r="BG110" s="354">
        <f>BF110*Indeksacja!BG$61</f>
        <v>12.429808115679945</v>
      </c>
      <c r="BH110" s="354">
        <f>BG110*Indeksacja!BH$61</f>
        <v>12.638895828052631</v>
      </c>
      <c r="BI110" s="354">
        <f>BH110*Indeksacja!BI$61</f>
        <v>12.851500704251047</v>
      </c>
    </row>
    <row r="111" spans="1:61">
      <c r="A111" s="369"/>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row>
    <row r="112" spans="1:61">
      <c r="A112" s="369"/>
      <c r="B112" s="369"/>
      <c r="C112" s="369"/>
      <c r="D112" s="369"/>
      <c r="E112" s="369"/>
      <c r="F112" s="369"/>
      <c r="G112" s="369"/>
      <c r="H112" s="369"/>
      <c r="I112" s="369"/>
      <c r="J112" s="369"/>
      <c r="K112" s="369"/>
      <c r="L112" s="369"/>
      <c r="M112" s="369"/>
      <c r="N112" s="369"/>
      <c r="O112" s="369"/>
      <c r="P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row>
    <row r="113" spans="1:61" ht="15.75" thickBot="1">
      <c r="A113" s="1" t="s">
        <v>282</v>
      </c>
      <c r="B113" s="369"/>
      <c r="C113" s="369"/>
      <c r="D113" s="369"/>
      <c r="E113" s="369"/>
      <c r="F113" s="369"/>
      <c r="G113" s="369"/>
      <c r="H113" s="369"/>
      <c r="I113" s="369"/>
      <c r="J113" s="369"/>
      <c r="K113" s="369"/>
      <c r="L113" s="369"/>
      <c r="M113" s="369"/>
      <c r="N113" s="369"/>
      <c r="O113" s="369"/>
      <c r="P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row>
    <row r="114" spans="1:61">
      <c r="A114" s="369"/>
      <c r="B114" s="369"/>
      <c r="C114" s="369"/>
      <c r="D114" s="369"/>
      <c r="E114" s="369"/>
      <c r="F114" s="369"/>
      <c r="G114" s="369"/>
      <c r="H114" s="369"/>
      <c r="I114" s="369"/>
      <c r="J114" s="369"/>
      <c r="K114" s="369"/>
      <c r="L114" s="369"/>
      <c r="M114" s="369"/>
      <c r="N114" s="369"/>
      <c r="O114" s="369"/>
      <c r="P114" s="374" t="s">
        <v>188</v>
      </c>
      <c r="Q114" s="375"/>
      <c r="R114" s="376"/>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row>
    <row r="115" spans="1:61" ht="15.75" thickBot="1">
      <c r="A115" s="369"/>
      <c r="B115" s="369"/>
      <c r="C115" s="369"/>
      <c r="D115" s="369"/>
      <c r="E115" s="369"/>
      <c r="F115" s="369"/>
      <c r="G115" s="369"/>
      <c r="H115" s="369"/>
      <c r="I115" s="369"/>
      <c r="J115" s="369"/>
      <c r="K115" s="369"/>
      <c r="L115" s="369"/>
      <c r="M115" s="369"/>
      <c r="N115" s="369"/>
      <c r="O115" s="369"/>
      <c r="P115" s="32"/>
      <c r="Q115" s="33" t="s">
        <v>10</v>
      </c>
      <c r="R115" s="34" t="s">
        <v>6</v>
      </c>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row>
    <row r="116" spans="1:61">
      <c r="A116" s="369"/>
      <c r="B116" s="369"/>
      <c r="C116" s="369"/>
      <c r="D116" s="369"/>
      <c r="E116" s="369"/>
      <c r="F116" s="369"/>
      <c r="G116" s="369"/>
      <c r="H116" s="369"/>
      <c r="I116" s="369"/>
      <c r="J116" s="369"/>
      <c r="K116" s="369"/>
      <c r="L116" s="369"/>
      <c r="M116" s="369"/>
      <c r="N116" s="369"/>
      <c r="O116" s="369"/>
      <c r="P116" s="26" t="s">
        <v>189</v>
      </c>
      <c r="Q116" s="364">
        <v>1</v>
      </c>
      <c r="R116" s="365">
        <v>1</v>
      </c>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69"/>
      <c r="AY116" s="369"/>
      <c r="AZ116" s="369"/>
      <c r="BA116" s="369"/>
      <c r="BB116" s="369"/>
      <c r="BC116" s="369"/>
      <c r="BD116" s="369"/>
      <c r="BE116" s="369"/>
      <c r="BF116" s="369"/>
      <c r="BG116" s="369"/>
      <c r="BH116" s="369"/>
      <c r="BI116" s="369"/>
    </row>
    <row r="117" spans="1:61" ht="15.75" thickBot="1">
      <c r="A117" s="369"/>
      <c r="B117" s="369"/>
      <c r="C117" s="369"/>
      <c r="D117" s="369"/>
      <c r="E117" s="369"/>
      <c r="F117" s="369"/>
      <c r="G117" s="369"/>
      <c r="H117" s="369"/>
      <c r="I117" s="369"/>
      <c r="J117" s="369"/>
      <c r="K117" s="369"/>
      <c r="L117" s="369"/>
      <c r="M117" s="369"/>
      <c r="N117" s="369"/>
      <c r="O117" s="369"/>
      <c r="P117" s="27" t="s">
        <v>190</v>
      </c>
      <c r="Q117" s="366">
        <f>'Hałas-zdezagr.krańc'!Q168/'Hałas-zdezagr.krańc'!Q143</f>
        <v>0.1238330587589237</v>
      </c>
      <c r="R117" s="367">
        <f>'Hałas-zdezagr.krańc'!Q171/'Hałas-zdezagr.krańc'!Q146</f>
        <v>0.12391913650187843</v>
      </c>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row>
    <row r="118" spans="1:61">
      <c r="A118" s="369"/>
      <c r="B118" s="369"/>
      <c r="C118" s="369"/>
      <c r="D118" s="369"/>
      <c r="E118" s="369"/>
      <c r="F118" s="369"/>
      <c r="G118" s="369"/>
      <c r="H118" s="369"/>
      <c r="I118" s="369"/>
      <c r="J118" s="369"/>
      <c r="K118" s="369"/>
      <c r="L118" s="369"/>
      <c r="M118" s="369"/>
      <c r="N118" s="369"/>
      <c r="O118" s="369"/>
      <c r="P118" s="35" t="s">
        <v>803</v>
      </c>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row>
    <row r="119" spans="1:61" s="694" customFormat="1"/>
    <row r="120" spans="1:61">
      <c r="A120" s="350" t="s">
        <v>804</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69"/>
      <c r="AZ120" s="369"/>
      <c r="BA120" s="369"/>
      <c r="BB120" s="369"/>
      <c r="BC120" s="369"/>
      <c r="BD120" s="369"/>
      <c r="BE120" s="369"/>
      <c r="BF120" s="369"/>
      <c r="BG120" s="369"/>
      <c r="BH120" s="369"/>
      <c r="BI120" s="369"/>
    </row>
    <row r="121" spans="1:61">
      <c r="A121" s="832"/>
      <c r="B121" s="685" t="s">
        <v>328</v>
      </c>
      <c r="C121" s="671"/>
      <c r="D121" s="671"/>
      <c r="E121" s="671"/>
      <c r="F121" s="671"/>
      <c r="G121" s="671"/>
      <c r="H121" s="671"/>
      <c r="I121" s="671"/>
      <c r="J121" s="671"/>
      <c r="K121" s="671"/>
      <c r="L121" s="671"/>
      <c r="M121" s="671"/>
      <c r="N121" s="671"/>
      <c r="O121" s="671"/>
      <c r="P121" s="674"/>
      <c r="Q121" s="6"/>
      <c r="R121" s="6"/>
      <c r="S121" s="6"/>
      <c r="T121" s="6">
        <v>2020</v>
      </c>
      <c r="U121" s="6">
        <f>T121+1</f>
        <v>2021</v>
      </c>
      <c r="V121" s="6">
        <f t="shared" ref="V121:BI121" si="9">U121+1</f>
        <v>2022</v>
      </c>
      <c r="W121" s="6">
        <f t="shared" si="9"/>
        <v>2023</v>
      </c>
      <c r="X121" s="6">
        <f t="shared" si="9"/>
        <v>2024</v>
      </c>
      <c r="Y121" s="6">
        <f t="shared" si="9"/>
        <v>2025</v>
      </c>
      <c r="Z121" s="6">
        <f t="shared" si="9"/>
        <v>2026</v>
      </c>
      <c r="AA121" s="6">
        <f t="shared" si="9"/>
        <v>2027</v>
      </c>
      <c r="AB121" s="6">
        <f t="shared" si="9"/>
        <v>2028</v>
      </c>
      <c r="AC121" s="6">
        <f t="shared" si="9"/>
        <v>2029</v>
      </c>
      <c r="AD121" s="6">
        <f t="shared" si="9"/>
        <v>2030</v>
      </c>
      <c r="AE121" s="6">
        <f t="shared" si="9"/>
        <v>2031</v>
      </c>
      <c r="AF121" s="6">
        <f t="shared" si="9"/>
        <v>2032</v>
      </c>
      <c r="AG121" s="6">
        <f t="shared" si="9"/>
        <v>2033</v>
      </c>
      <c r="AH121" s="6">
        <f t="shared" si="9"/>
        <v>2034</v>
      </c>
      <c r="AI121" s="6">
        <f t="shared" si="9"/>
        <v>2035</v>
      </c>
      <c r="AJ121" s="6">
        <f t="shared" si="9"/>
        <v>2036</v>
      </c>
      <c r="AK121" s="6">
        <f t="shared" si="9"/>
        <v>2037</v>
      </c>
      <c r="AL121" s="6">
        <f t="shared" si="9"/>
        <v>2038</v>
      </c>
      <c r="AM121" s="6">
        <f t="shared" si="9"/>
        <v>2039</v>
      </c>
      <c r="AN121" s="6">
        <f t="shared" si="9"/>
        <v>2040</v>
      </c>
      <c r="AO121" s="6">
        <f t="shared" si="9"/>
        <v>2041</v>
      </c>
      <c r="AP121" s="6">
        <f t="shared" si="9"/>
        <v>2042</v>
      </c>
      <c r="AQ121" s="6">
        <f t="shared" si="9"/>
        <v>2043</v>
      </c>
      <c r="AR121" s="6">
        <f t="shared" si="9"/>
        <v>2044</v>
      </c>
      <c r="AS121" s="6">
        <f t="shared" si="9"/>
        <v>2045</v>
      </c>
      <c r="AT121" s="6">
        <f t="shared" si="9"/>
        <v>2046</v>
      </c>
      <c r="AU121" s="6">
        <f t="shared" si="9"/>
        <v>2047</v>
      </c>
      <c r="AV121" s="6">
        <f t="shared" si="9"/>
        <v>2048</v>
      </c>
      <c r="AW121" s="6">
        <f t="shared" si="9"/>
        <v>2049</v>
      </c>
      <c r="AX121" s="6">
        <f t="shared" si="9"/>
        <v>2050</v>
      </c>
      <c r="AY121" s="6">
        <f t="shared" si="9"/>
        <v>2051</v>
      </c>
      <c r="AZ121" s="6">
        <f t="shared" si="9"/>
        <v>2052</v>
      </c>
      <c r="BA121" s="6">
        <f t="shared" si="9"/>
        <v>2053</v>
      </c>
      <c r="BB121" s="6">
        <f t="shared" si="9"/>
        <v>2054</v>
      </c>
      <c r="BC121" s="6">
        <f t="shared" si="9"/>
        <v>2055</v>
      </c>
      <c r="BD121" s="6">
        <f t="shared" si="9"/>
        <v>2056</v>
      </c>
      <c r="BE121" s="6">
        <f t="shared" si="9"/>
        <v>2057</v>
      </c>
      <c r="BF121" s="6">
        <f t="shared" si="9"/>
        <v>2058</v>
      </c>
      <c r="BG121" s="6">
        <f t="shared" si="9"/>
        <v>2059</v>
      </c>
      <c r="BH121" s="6">
        <f t="shared" si="9"/>
        <v>2060</v>
      </c>
      <c r="BI121" s="6">
        <f t="shared" si="9"/>
        <v>2061</v>
      </c>
    </row>
    <row r="122" spans="1:61">
      <c r="A122" s="833"/>
      <c r="B122" s="686" t="s">
        <v>530</v>
      </c>
      <c r="C122" s="681"/>
      <c r="D122" s="681"/>
      <c r="E122" s="681"/>
      <c r="F122" s="681"/>
      <c r="G122" s="681"/>
      <c r="H122" s="681"/>
      <c r="I122" s="681"/>
      <c r="J122" s="681"/>
      <c r="K122" s="681"/>
      <c r="L122" s="681"/>
      <c r="M122" s="681"/>
      <c r="N122" s="681"/>
      <c r="O122" s="681"/>
      <c r="P122" s="687"/>
      <c r="Q122" s="683">
        <f>DATE(2016,12,31)</f>
        <v>42735</v>
      </c>
      <c r="R122" s="683">
        <f>DATE(YEAR(Q122+1),12,31)</f>
        <v>43100</v>
      </c>
      <c r="S122" s="683">
        <f t="shared" ref="S122" si="10">DATE(YEAR(R122+1),12,31)</f>
        <v>43465</v>
      </c>
      <c r="T122" s="683">
        <f>DATE(YEAR(S122+1),12,31)</f>
        <v>43830</v>
      </c>
      <c r="U122" s="683">
        <f t="shared" ref="U122:BI122" si="11">DATE(YEAR(T122+1),12,31)</f>
        <v>44196</v>
      </c>
      <c r="V122" s="683">
        <f t="shared" si="11"/>
        <v>44561</v>
      </c>
      <c r="W122" s="683">
        <f t="shared" si="11"/>
        <v>44926</v>
      </c>
      <c r="X122" s="683">
        <f t="shared" si="11"/>
        <v>45291</v>
      </c>
      <c r="Y122" s="683">
        <f t="shared" si="11"/>
        <v>45657</v>
      </c>
      <c r="Z122" s="683">
        <f t="shared" si="11"/>
        <v>46022</v>
      </c>
      <c r="AA122" s="683">
        <f t="shared" si="11"/>
        <v>46387</v>
      </c>
      <c r="AB122" s="683">
        <f t="shared" si="11"/>
        <v>46752</v>
      </c>
      <c r="AC122" s="683">
        <f t="shared" si="11"/>
        <v>47118</v>
      </c>
      <c r="AD122" s="683">
        <f t="shared" si="11"/>
        <v>47483</v>
      </c>
      <c r="AE122" s="683">
        <f t="shared" si="11"/>
        <v>47848</v>
      </c>
      <c r="AF122" s="683">
        <f t="shared" si="11"/>
        <v>48213</v>
      </c>
      <c r="AG122" s="683">
        <f t="shared" si="11"/>
        <v>48579</v>
      </c>
      <c r="AH122" s="683">
        <f t="shared" si="11"/>
        <v>48944</v>
      </c>
      <c r="AI122" s="683">
        <f t="shared" si="11"/>
        <v>49309</v>
      </c>
      <c r="AJ122" s="683">
        <f t="shared" si="11"/>
        <v>49674</v>
      </c>
      <c r="AK122" s="683">
        <f t="shared" si="11"/>
        <v>50040</v>
      </c>
      <c r="AL122" s="683">
        <f t="shared" si="11"/>
        <v>50405</v>
      </c>
      <c r="AM122" s="683">
        <f t="shared" si="11"/>
        <v>50770</v>
      </c>
      <c r="AN122" s="683">
        <f t="shared" si="11"/>
        <v>51135</v>
      </c>
      <c r="AO122" s="683">
        <f t="shared" si="11"/>
        <v>51501</v>
      </c>
      <c r="AP122" s="683">
        <f t="shared" si="11"/>
        <v>51866</v>
      </c>
      <c r="AQ122" s="683">
        <f t="shared" si="11"/>
        <v>52231</v>
      </c>
      <c r="AR122" s="683">
        <f t="shared" si="11"/>
        <v>52596</v>
      </c>
      <c r="AS122" s="683">
        <f t="shared" si="11"/>
        <v>52962</v>
      </c>
      <c r="AT122" s="683">
        <f t="shared" si="11"/>
        <v>53327</v>
      </c>
      <c r="AU122" s="683">
        <f t="shared" si="11"/>
        <v>53692</v>
      </c>
      <c r="AV122" s="683">
        <f t="shared" si="11"/>
        <v>54057</v>
      </c>
      <c r="AW122" s="683">
        <f t="shared" si="11"/>
        <v>54423</v>
      </c>
      <c r="AX122" s="683">
        <f t="shared" si="11"/>
        <v>54788</v>
      </c>
      <c r="AY122" s="683">
        <f t="shared" si="11"/>
        <v>55153</v>
      </c>
      <c r="AZ122" s="683">
        <f t="shared" si="11"/>
        <v>55518</v>
      </c>
      <c r="BA122" s="683">
        <f t="shared" si="11"/>
        <v>55884</v>
      </c>
      <c r="BB122" s="683">
        <f t="shared" si="11"/>
        <v>56249</v>
      </c>
      <c r="BC122" s="683">
        <f t="shared" si="11"/>
        <v>56614</v>
      </c>
      <c r="BD122" s="683">
        <f t="shared" si="11"/>
        <v>56979</v>
      </c>
      <c r="BE122" s="683">
        <f t="shared" si="11"/>
        <v>57345</v>
      </c>
      <c r="BF122" s="683">
        <f t="shared" si="11"/>
        <v>57710</v>
      </c>
      <c r="BG122" s="683">
        <f t="shared" si="11"/>
        <v>58075</v>
      </c>
      <c r="BH122" s="683">
        <f t="shared" si="11"/>
        <v>58440</v>
      </c>
      <c r="BI122" s="683">
        <f t="shared" si="11"/>
        <v>58806</v>
      </c>
    </row>
    <row r="123" spans="1:61" ht="45">
      <c r="A123" s="352" t="s">
        <v>513</v>
      </c>
      <c r="B123" s="353"/>
      <c r="C123" s="353"/>
      <c r="D123" s="353"/>
      <c r="E123" s="353"/>
      <c r="F123" s="353"/>
      <c r="G123" s="353"/>
      <c r="H123" s="353"/>
      <c r="I123" s="353"/>
      <c r="J123" s="353"/>
      <c r="K123" s="353"/>
      <c r="L123" s="353"/>
      <c r="M123" s="353"/>
      <c r="N123" s="353"/>
      <c r="O123" s="353"/>
      <c r="P123" s="353"/>
      <c r="Q123" s="353"/>
      <c r="R123" s="353"/>
      <c r="S123" s="353"/>
      <c r="T123" s="354">
        <f>T$102*$Q$116</f>
        <v>3.5320940851114487E-2</v>
      </c>
      <c r="U123" s="354">
        <f t="shared" ref="U123:BI123" si="12">U$102*$Q$116</f>
        <v>3.5877092757177501E-2</v>
      </c>
      <c r="V123" s="354">
        <f t="shared" si="12"/>
        <v>3.9495214246357005E-2</v>
      </c>
      <c r="W123" s="354">
        <f t="shared" si="12"/>
        <v>4.0758796351502209E-2</v>
      </c>
      <c r="X123" s="354">
        <f t="shared" si="12"/>
        <v>4.1872181099923793E-2</v>
      </c>
      <c r="Y123" s="354">
        <f t="shared" si="12"/>
        <v>4.2954872193143312E-2</v>
      </c>
      <c r="Z123" s="354">
        <f t="shared" si="12"/>
        <v>4.4106373827450883E-2</v>
      </c>
      <c r="AA123" s="354">
        <f t="shared" si="12"/>
        <v>4.5259963018082994E-2</v>
      </c>
      <c r="AB123" s="354">
        <f t="shared" si="12"/>
        <v>4.6450529096950938E-2</v>
      </c>
      <c r="AC123" s="354">
        <f t="shared" si="12"/>
        <v>4.7642079667928099E-2</v>
      </c>
      <c r="AD123" s="354">
        <f t="shared" si="12"/>
        <v>4.8832906947022983E-2</v>
      </c>
      <c r="AE123" s="354">
        <f t="shared" si="12"/>
        <v>5.0021195000442005E-2</v>
      </c>
      <c r="AF123" s="354">
        <f t="shared" si="12"/>
        <v>5.124632312710832E-2</v>
      </c>
      <c r="AG123" s="354">
        <f t="shared" si="12"/>
        <v>5.2467937160326092E-2</v>
      </c>
      <c r="AH123" s="354">
        <f t="shared" si="12"/>
        <v>5.3725907614328682E-2</v>
      </c>
      <c r="AI123" s="354">
        <f t="shared" si="12"/>
        <v>5.497762405119741E-2</v>
      </c>
      <c r="AJ123" s="354">
        <f t="shared" si="12"/>
        <v>5.6220363011465067E-2</v>
      </c>
      <c r="AK123" s="354">
        <f t="shared" si="12"/>
        <v>5.7452139040311927E-2</v>
      </c>
      <c r="AL123" s="354">
        <f t="shared" si="12"/>
        <v>5.8670235210108772E-2</v>
      </c>
      <c r="AM123" s="354">
        <f t="shared" si="12"/>
        <v>5.9871891633195569E-2</v>
      </c>
      <c r="AN123" s="354">
        <f t="shared" si="12"/>
        <v>6.1054234426912074E-2</v>
      </c>
      <c r="AO123" s="354">
        <f t="shared" si="12"/>
        <v>6.2263824725794295E-2</v>
      </c>
      <c r="AP123" s="354">
        <f t="shared" si="12"/>
        <v>6.3400366475423103E-2</v>
      </c>
      <c r="AQ123" s="354">
        <f t="shared" si="12"/>
        <v>6.4560761441081305E-2</v>
      </c>
      <c r="AR123" s="354">
        <f t="shared" si="12"/>
        <v>6.5745063920395613E-2</v>
      </c>
      <c r="AS123" s="354">
        <f t="shared" si="12"/>
        <v>6.6900985047931877E-2</v>
      </c>
      <c r="AT123" s="354">
        <f t="shared" si="12"/>
        <v>6.8026000164655084E-2</v>
      </c>
      <c r="AU123" s="354">
        <f t="shared" si="12"/>
        <v>6.9117615114053829E-2</v>
      </c>
      <c r="AV123" s="354">
        <f t="shared" si="12"/>
        <v>7.0229182477795762E-2</v>
      </c>
      <c r="AW123" s="354">
        <f t="shared" si="12"/>
        <v>7.1360517800084858E-2</v>
      </c>
      <c r="AX123" s="354">
        <f t="shared" si="12"/>
        <v>7.2511823798742658E-2</v>
      </c>
      <c r="AY123" s="354">
        <f t="shared" si="12"/>
        <v>7.3624662061363089E-2</v>
      </c>
      <c r="AZ123" s="354">
        <f t="shared" si="12"/>
        <v>7.4744755215062061E-2</v>
      </c>
      <c r="BA123" s="354">
        <f t="shared" si="12"/>
        <v>7.5881888972246833E-2</v>
      </c>
      <c r="BB123" s="354">
        <f t="shared" si="12"/>
        <v>7.7036322581147065E-2</v>
      </c>
      <c r="BC123" s="354">
        <f t="shared" si="12"/>
        <v>7.8208319234080712E-2</v>
      </c>
      <c r="BD123" s="354">
        <f t="shared" si="12"/>
        <v>7.9398146127457644E-2</v>
      </c>
      <c r="BE123" s="354">
        <f t="shared" si="12"/>
        <v>8.0669907308985253E-2</v>
      </c>
      <c r="BF123" s="354">
        <f t="shared" si="12"/>
        <v>8.196203894727698E-2</v>
      </c>
      <c r="BG123" s="354">
        <f t="shared" si="12"/>
        <v>8.3274867326477056E-2</v>
      </c>
      <c r="BH123" s="354">
        <f t="shared" si="12"/>
        <v>8.467567346486525E-2</v>
      </c>
      <c r="BI123" s="354">
        <f t="shared" si="12"/>
        <v>8.6100043229355105E-2</v>
      </c>
    </row>
    <row r="124" spans="1:61"/>
    <row r="125" spans="1:61"/>
    <row r="126" spans="1:61">
      <c r="A126" s="720" t="s">
        <v>805</v>
      </c>
      <c r="B126" s="720"/>
      <c r="C126" s="720"/>
      <c r="D126" s="720"/>
      <c r="E126" s="720"/>
      <c r="F126" s="720"/>
      <c r="G126" s="720"/>
      <c r="H126" s="720"/>
      <c r="I126" s="720"/>
      <c r="J126" s="720"/>
      <c r="K126" s="720"/>
      <c r="L126" s="720"/>
      <c r="M126" s="720"/>
      <c r="N126" s="720"/>
      <c r="O126" s="720"/>
      <c r="P126" s="720"/>
      <c r="Q126" s="720"/>
      <c r="R126" s="720"/>
      <c r="S126" s="720"/>
      <c r="T126" s="720"/>
      <c r="U126" s="720"/>
      <c r="V126" s="720"/>
    </row>
    <row r="127" spans="1:61" s="694" customFormat="1">
      <c r="A127" s="720"/>
      <c r="B127" s="720"/>
      <c r="C127" s="720"/>
      <c r="D127" s="720"/>
      <c r="E127" s="720"/>
      <c r="F127" s="720"/>
      <c r="G127" s="720"/>
      <c r="H127" s="720"/>
      <c r="I127" s="720"/>
      <c r="J127" s="720"/>
      <c r="K127" s="720"/>
      <c r="L127" s="720"/>
      <c r="M127" s="720"/>
      <c r="N127" s="720"/>
      <c r="O127" s="720"/>
      <c r="P127" s="720"/>
      <c r="Q127" s="720"/>
      <c r="R127" s="720"/>
      <c r="S127" s="720"/>
      <c r="T127" s="720"/>
      <c r="U127" s="720"/>
      <c r="V127" s="720"/>
    </row>
    <row r="128" spans="1:61">
      <c r="A128" s="782" t="s">
        <v>541</v>
      </c>
      <c r="B128" s="782"/>
      <c r="C128" s="782"/>
      <c r="D128" s="782"/>
      <c r="E128" s="782"/>
      <c r="F128" s="782"/>
      <c r="G128" s="782"/>
      <c r="H128" s="782"/>
      <c r="I128" s="782"/>
      <c r="J128" s="782"/>
      <c r="K128" s="782"/>
      <c r="L128" s="782"/>
      <c r="M128" s="782"/>
      <c r="N128" s="782"/>
      <c r="O128" s="782"/>
      <c r="P128" s="782"/>
      <c r="Q128" s="782"/>
      <c r="R128" s="782"/>
      <c r="S128" s="782"/>
      <c r="T128" s="782"/>
      <c r="U128" s="782"/>
      <c r="V128" s="782"/>
    </row>
    <row r="129" spans="1:61" s="694" customFormat="1">
      <c r="A129" s="782"/>
      <c r="B129" s="782"/>
      <c r="C129" s="782"/>
      <c r="D129" s="782"/>
      <c r="E129" s="782"/>
      <c r="F129" s="782"/>
      <c r="G129" s="782"/>
      <c r="H129" s="782"/>
      <c r="I129" s="782"/>
      <c r="J129" s="782"/>
      <c r="K129" s="782"/>
      <c r="L129" s="782"/>
      <c r="M129" s="782"/>
      <c r="N129" s="782"/>
      <c r="O129" s="782"/>
      <c r="P129" s="782"/>
      <c r="Q129" s="782"/>
      <c r="R129" s="782"/>
      <c r="S129" s="782"/>
      <c r="T129" s="782"/>
      <c r="U129" s="782"/>
      <c r="V129" s="782"/>
    </row>
    <row r="130" spans="1:61" s="613" customFormat="1">
      <c r="A130" s="780" t="s">
        <v>540</v>
      </c>
      <c r="B130" s="780"/>
      <c r="C130" s="780"/>
      <c r="D130" s="780"/>
      <c r="E130" s="780"/>
      <c r="F130" s="780"/>
      <c r="G130" s="780"/>
      <c r="H130" s="780"/>
      <c r="I130" s="780"/>
      <c r="J130" s="780"/>
      <c r="K130" s="780"/>
      <c r="L130" s="780"/>
      <c r="M130" s="780"/>
      <c r="N130" s="780"/>
      <c r="O130" s="780"/>
      <c r="P130" s="780"/>
      <c r="Q130" s="780"/>
      <c r="R130" s="780"/>
      <c r="S130" s="780"/>
      <c r="T130" s="780"/>
      <c r="U130" s="780"/>
      <c r="V130" s="780"/>
    </row>
    <row r="131" spans="1:61" s="694" customFormat="1">
      <c r="A131" s="780"/>
      <c r="B131" s="780"/>
      <c r="C131" s="780"/>
      <c r="D131" s="780"/>
      <c r="E131" s="780"/>
      <c r="F131" s="780"/>
      <c r="G131" s="780"/>
      <c r="H131" s="780"/>
      <c r="I131" s="780"/>
      <c r="J131" s="780"/>
      <c r="K131" s="780"/>
      <c r="L131" s="780"/>
      <c r="M131" s="780"/>
      <c r="N131" s="780"/>
      <c r="O131" s="780"/>
      <c r="P131" s="780"/>
      <c r="Q131" s="780"/>
      <c r="R131" s="780"/>
      <c r="S131" s="780"/>
      <c r="T131" s="780"/>
      <c r="U131" s="780"/>
      <c r="V131" s="780"/>
    </row>
    <row r="132" spans="1:61" s="613" customFormat="1">
      <c r="A132" s="781"/>
      <c r="B132" s="781"/>
      <c r="C132" s="781"/>
      <c r="D132" s="781"/>
      <c r="E132" s="781"/>
      <c r="F132" s="781"/>
      <c r="G132" s="781"/>
      <c r="H132" s="781"/>
      <c r="I132" s="781"/>
      <c r="J132" s="781"/>
      <c r="K132" s="781"/>
      <c r="L132" s="781"/>
      <c r="M132" s="781"/>
      <c r="N132" s="781"/>
      <c r="O132" s="781"/>
      <c r="P132" s="781"/>
      <c r="Q132" s="781"/>
      <c r="R132" s="781"/>
      <c r="S132" s="781"/>
      <c r="T132" s="781"/>
      <c r="U132" s="781"/>
      <c r="V132" s="781"/>
    </row>
    <row r="133" spans="1:61">
      <c r="A133" s="832"/>
      <c r="B133" s="685" t="s">
        <v>328</v>
      </c>
      <c r="C133" s="671"/>
      <c r="D133" s="671"/>
      <c r="E133" s="671"/>
      <c r="F133" s="671"/>
      <c r="G133" s="671"/>
      <c r="H133" s="671"/>
      <c r="I133" s="671"/>
      <c r="J133" s="671"/>
      <c r="K133" s="671"/>
      <c r="L133" s="671"/>
      <c r="M133" s="671"/>
      <c r="N133" s="671"/>
      <c r="O133" s="671"/>
      <c r="P133" s="674"/>
      <c r="Q133" s="6"/>
      <c r="R133" s="6"/>
      <c r="S133" s="6"/>
      <c r="T133" s="6">
        <v>2020</v>
      </c>
      <c r="U133" s="6">
        <f>T133+1</f>
        <v>2021</v>
      </c>
      <c r="V133" s="6">
        <f t="shared" ref="V133" si="13">U133+1</f>
        <v>2022</v>
      </c>
      <c r="W133" s="6">
        <f t="shared" ref="W133" si="14">V133+1</f>
        <v>2023</v>
      </c>
      <c r="X133" s="6">
        <f t="shared" ref="X133" si="15">W133+1</f>
        <v>2024</v>
      </c>
      <c r="Y133" s="6">
        <f t="shared" ref="Y133" si="16">X133+1</f>
        <v>2025</v>
      </c>
      <c r="Z133" s="6">
        <f t="shared" ref="Z133" si="17">Y133+1</f>
        <v>2026</v>
      </c>
      <c r="AA133" s="6">
        <f t="shared" ref="AA133" si="18">Z133+1</f>
        <v>2027</v>
      </c>
      <c r="AB133" s="6">
        <f t="shared" ref="AB133" si="19">AA133+1</f>
        <v>2028</v>
      </c>
      <c r="AC133" s="6">
        <f t="shared" ref="AC133" si="20">AB133+1</f>
        <v>2029</v>
      </c>
      <c r="AD133" s="6">
        <f t="shared" ref="AD133" si="21">AC133+1</f>
        <v>2030</v>
      </c>
      <c r="AE133" s="6">
        <f t="shared" ref="AE133" si="22">AD133+1</f>
        <v>2031</v>
      </c>
      <c r="AF133" s="6">
        <f t="shared" ref="AF133" si="23">AE133+1</f>
        <v>2032</v>
      </c>
      <c r="AG133" s="6">
        <f t="shared" ref="AG133" si="24">AF133+1</f>
        <v>2033</v>
      </c>
      <c r="AH133" s="6">
        <f t="shared" ref="AH133" si="25">AG133+1</f>
        <v>2034</v>
      </c>
      <c r="AI133" s="6">
        <f t="shared" ref="AI133" si="26">AH133+1</f>
        <v>2035</v>
      </c>
      <c r="AJ133" s="6">
        <f t="shared" ref="AJ133" si="27">AI133+1</f>
        <v>2036</v>
      </c>
      <c r="AK133" s="6">
        <f t="shared" ref="AK133" si="28">AJ133+1</f>
        <v>2037</v>
      </c>
      <c r="AL133" s="6">
        <f t="shared" ref="AL133" si="29">AK133+1</f>
        <v>2038</v>
      </c>
      <c r="AM133" s="6">
        <f t="shared" ref="AM133" si="30">AL133+1</f>
        <v>2039</v>
      </c>
      <c r="AN133" s="6">
        <f t="shared" ref="AN133" si="31">AM133+1</f>
        <v>2040</v>
      </c>
      <c r="AO133" s="6">
        <f t="shared" ref="AO133" si="32">AN133+1</f>
        <v>2041</v>
      </c>
      <c r="AP133" s="6">
        <f t="shared" ref="AP133" si="33">AO133+1</f>
        <v>2042</v>
      </c>
      <c r="AQ133" s="6">
        <f t="shared" ref="AQ133" si="34">AP133+1</f>
        <v>2043</v>
      </c>
      <c r="AR133" s="6">
        <f t="shared" ref="AR133" si="35">AQ133+1</f>
        <v>2044</v>
      </c>
      <c r="AS133" s="6">
        <f t="shared" ref="AS133" si="36">AR133+1</f>
        <v>2045</v>
      </c>
      <c r="AT133" s="6">
        <f t="shared" ref="AT133" si="37">AS133+1</f>
        <v>2046</v>
      </c>
      <c r="AU133" s="6">
        <f t="shared" ref="AU133" si="38">AT133+1</f>
        <v>2047</v>
      </c>
      <c r="AV133" s="6">
        <f t="shared" ref="AV133" si="39">AU133+1</f>
        <v>2048</v>
      </c>
      <c r="AW133" s="6">
        <f t="shared" ref="AW133" si="40">AV133+1</f>
        <v>2049</v>
      </c>
      <c r="AX133" s="6">
        <f t="shared" ref="AX133" si="41">AW133+1</f>
        <v>2050</v>
      </c>
      <c r="AY133" s="6">
        <f t="shared" ref="AY133" si="42">AX133+1</f>
        <v>2051</v>
      </c>
      <c r="AZ133" s="6">
        <f t="shared" ref="AZ133" si="43">AY133+1</f>
        <v>2052</v>
      </c>
      <c r="BA133" s="6">
        <f t="shared" ref="BA133" si="44">AZ133+1</f>
        <v>2053</v>
      </c>
      <c r="BB133" s="6">
        <f t="shared" ref="BB133" si="45">BA133+1</f>
        <v>2054</v>
      </c>
      <c r="BC133" s="6">
        <f t="shared" ref="BC133" si="46">BB133+1</f>
        <v>2055</v>
      </c>
      <c r="BD133" s="6">
        <f t="shared" ref="BD133" si="47">BC133+1</f>
        <v>2056</v>
      </c>
      <c r="BE133" s="6">
        <f t="shared" ref="BE133" si="48">BD133+1</f>
        <v>2057</v>
      </c>
      <c r="BF133" s="6">
        <f t="shared" ref="BF133" si="49">BE133+1</f>
        <v>2058</v>
      </c>
      <c r="BG133" s="6">
        <f t="shared" ref="BG133" si="50">BF133+1</f>
        <v>2059</v>
      </c>
      <c r="BH133" s="6">
        <f t="shared" ref="BH133" si="51">BG133+1</f>
        <v>2060</v>
      </c>
      <c r="BI133" s="6">
        <f t="shared" ref="BI133" si="52">BH133+1</f>
        <v>2061</v>
      </c>
    </row>
    <row r="134" spans="1:61">
      <c r="A134" s="833"/>
      <c r="B134" s="686" t="s">
        <v>530</v>
      </c>
      <c r="C134" s="681"/>
      <c r="D134" s="681"/>
      <c r="E134" s="681"/>
      <c r="F134" s="681"/>
      <c r="G134" s="681"/>
      <c r="H134" s="681"/>
      <c r="I134" s="681"/>
      <c r="J134" s="681"/>
      <c r="K134" s="681"/>
      <c r="L134" s="681"/>
      <c r="M134" s="681"/>
      <c r="N134" s="681"/>
      <c r="O134" s="681"/>
      <c r="P134" s="687"/>
      <c r="Q134" s="683">
        <f>DATE(2016,12,31)</f>
        <v>42735</v>
      </c>
      <c r="R134" s="683">
        <f>DATE(YEAR(Q134+1),12,31)</f>
        <v>43100</v>
      </c>
      <c r="S134" s="683">
        <f t="shared" ref="S134" si="53">DATE(YEAR(R134+1),12,31)</f>
        <v>43465</v>
      </c>
      <c r="T134" s="683">
        <f>DATE(YEAR(S134+1),12,31)</f>
        <v>43830</v>
      </c>
      <c r="U134" s="683">
        <f t="shared" ref="U134:BI134" si="54">DATE(YEAR(T134+1),12,31)</f>
        <v>44196</v>
      </c>
      <c r="V134" s="683">
        <f t="shared" si="54"/>
        <v>44561</v>
      </c>
      <c r="W134" s="683">
        <f t="shared" si="54"/>
        <v>44926</v>
      </c>
      <c r="X134" s="683">
        <f t="shared" si="54"/>
        <v>45291</v>
      </c>
      <c r="Y134" s="683">
        <f t="shared" si="54"/>
        <v>45657</v>
      </c>
      <c r="Z134" s="683">
        <f t="shared" si="54"/>
        <v>46022</v>
      </c>
      <c r="AA134" s="683">
        <f t="shared" si="54"/>
        <v>46387</v>
      </c>
      <c r="AB134" s="683">
        <f t="shared" si="54"/>
        <v>46752</v>
      </c>
      <c r="AC134" s="683">
        <f t="shared" si="54"/>
        <v>47118</v>
      </c>
      <c r="AD134" s="683">
        <f t="shared" si="54"/>
        <v>47483</v>
      </c>
      <c r="AE134" s="683">
        <f t="shared" si="54"/>
        <v>47848</v>
      </c>
      <c r="AF134" s="683">
        <f t="shared" si="54"/>
        <v>48213</v>
      </c>
      <c r="AG134" s="683">
        <f t="shared" si="54"/>
        <v>48579</v>
      </c>
      <c r="AH134" s="683">
        <f t="shared" si="54"/>
        <v>48944</v>
      </c>
      <c r="AI134" s="683">
        <f t="shared" si="54"/>
        <v>49309</v>
      </c>
      <c r="AJ134" s="683">
        <f t="shared" si="54"/>
        <v>49674</v>
      </c>
      <c r="AK134" s="683">
        <f t="shared" si="54"/>
        <v>50040</v>
      </c>
      <c r="AL134" s="683">
        <f t="shared" si="54"/>
        <v>50405</v>
      </c>
      <c r="AM134" s="683">
        <f t="shared" si="54"/>
        <v>50770</v>
      </c>
      <c r="AN134" s="683">
        <f t="shared" si="54"/>
        <v>51135</v>
      </c>
      <c r="AO134" s="683">
        <f t="shared" si="54"/>
        <v>51501</v>
      </c>
      <c r="AP134" s="683">
        <f t="shared" si="54"/>
        <v>51866</v>
      </c>
      <c r="AQ134" s="683">
        <f t="shared" si="54"/>
        <v>52231</v>
      </c>
      <c r="AR134" s="683">
        <f t="shared" si="54"/>
        <v>52596</v>
      </c>
      <c r="AS134" s="683">
        <f t="shared" si="54"/>
        <v>52962</v>
      </c>
      <c r="AT134" s="683">
        <f t="shared" si="54"/>
        <v>53327</v>
      </c>
      <c r="AU134" s="683">
        <f t="shared" si="54"/>
        <v>53692</v>
      </c>
      <c r="AV134" s="683">
        <f t="shared" si="54"/>
        <v>54057</v>
      </c>
      <c r="AW134" s="683">
        <f t="shared" si="54"/>
        <v>54423</v>
      </c>
      <c r="AX134" s="683">
        <f t="shared" si="54"/>
        <v>54788</v>
      </c>
      <c r="AY134" s="683">
        <f t="shared" si="54"/>
        <v>55153</v>
      </c>
      <c r="AZ134" s="683">
        <f t="shared" si="54"/>
        <v>55518</v>
      </c>
      <c r="BA134" s="683">
        <f t="shared" si="54"/>
        <v>55884</v>
      </c>
      <c r="BB134" s="683">
        <f t="shared" si="54"/>
        <v>56249</v>
      </c>
      <c r="BC134" s="683">
        <f t="shared" si="54"/>
        <v>56614</v>
      </c>
      <c r="BD134" s="683">
        <f t="shared" si="54"/>
        <v>56979</v>
      </c>
      <c r="BE134" s="683">
        <f t="shared" si="54"/>
        <v>57345</v>
      </c>
      <c r="BF134" s="683">
        <f t="shared" si="54"/>
        <v>57710</v>
      </c>
      <c r="BG134" s="683">
        <f t="shared" si="54"/>
        <v>58075</v>
      </c>
      <c r="BH134" s="683">
        <f t="shared" si="54"/>
        <v>58440</v>
      </c>
      <c r="BI134" s="683">
        <f t="shared" si="54"/>
        <v>58806</v>
      </c>
    </row>
    <row r="135" spans="1:61" ht="45">
      <c r="A135" s="352" t="s">
        <v>514</v>
      </c>
      <c r="B135" s="353"/>
      <c r="C135" s="353"/>
      <c r="D135" s="353"/>
      <c r="E135" s="353"/>
      <c r="F135" s="353"/>
      <c r="G135" s="353"/>
      <c r="H135" s="353"/>
      <c r="I135" s="353"/>
      <c r="J135" s="353"/>
      <c r="K135" s="353"/>
      <c r="L135" s="353"/>
      <c r="M135" s="353"/>
      <c r="N135" s="353"/>
      <c r="O135" s="353"/>
      <c r="P135" s="353"/>
      <c r="Q135" s="353"/>
      <c r="R135" s="353"/>
      <c r="S135" s="353"/>
      <c r="T135" s="354">
        <f>T$123*'VOC eksploatacja samochody'!U$50+(0)*'VOC eksploatacja samochody'!U$53</f>
        <v>3.5070483270533852E-2</v>
      </c>
      <c r="U135" s="354">
        <f>U$123*'VOC eksploatacja samochody'!V$50+(0)*'VOC eksploatacja samochody'!V$53</f>
        <v>3.5368290350802981E-2</v>
      </c>
      <c r="V135" s="354">
        <f>V$123*'VOC eksploatacja samochody'!W$50+(0)*'VOC eksploatacja samochody'!W$53</f>
        <v>3.8655043325116316E-2</v>
      </c>
      <c r="W135" s="354">
        <f>W$123*'VOC eksploatacja samochody'!X$50+(0)*'VOC eksploatacja samochody'!X$53</f>
        <v>3.9602728673168684E-2</v>
      </c>
      <c r="X135" s="354">
        <f>X$123*'VOC eksploatacja samochody'!Y$50+(0)*'VOC eksploatacja samochody'!Y$53</f>
        <v>4.0387621951835574E-2</v>
      </c>
      <c r="Y135" s="354">
        <f>Y$123*'VOC eksploatacja samochody'!Z$50+(0)*'VOC eksploatacja samochody'!Z$53</f>
        <v>4.112733763074411E-2</v>
      </c>
      <c r="Z135" s="354">
        <f>Z$123*'VOC eksploatacja samochody'!AA$50+(0)*'VOC eksploatacja samochody'!AA$53</f>
        <v>4.1917093817470122E-2</v>
      </c>
      <c r="AA135" s="354">
        <f>AA$123*'VOC eksploatacja samochody'!AB$50+(0)*'VOC eksploatacja samochody'!AB$53</f>
        <v>4.26924887523299E-2</v>
      </c>
      <c r="AB135" s="354">
        <f>AB$123*'VOC eksploatacja samochody'!AC$50+(0)*'VOC eksploatacja samochody'!AC$53</f>
        <v>4.3486140785490957E-2</v>
      </c>
      <c r="AC135" s="354">
        <f>AC$123*'VOC eksploatacja samochody'!AD$50+(0)*'VOC eksploatacja samochody'!AD$53</f>
        <v>4.4263823109656805E-2</v>
      </c>
      <c r="AD135" s="354">
        <f>AD$123*'VOC eksploatacja samochody'!AE$50+(0)*'VOC eksploatacja samochody'!AE$53</f>
        <v>4.502394020515519E-2</v>
      </c>
      <c r="AE135" s="354">
        <f>AE$123*'VOC eksploatacja samochody'!AF$50+(0)*'VOC eksploatacja samochody'!AF$53</f>
        <v>4.5486773673651934E-2</v>
      </c>
      <c r="AF135" s="354">
        <f>AF$123*'VOC eksploatacja samochody'!AG$50+(0)*'VOC eksploatacja samochody'!AG$53</f>
        <v>4.595257794807802E-2</v>
      </c>
      <c r="AG135" s="354">
        <f>AG$123*'VOC eksploatacja samochody'!AH$50+(0)*'VOC eksploatacja samochody'!AH$53</f>
        <v>4.6384279846586267E-2</v>
      </c>
      <c r="AH135" s="354">
        <f>AH$123*'VOC eksploatacja samochody'!AI$50+(0)*'VOC eksploatacja samochody'!AI$53</f>
        <v>4.6816755895125996E-2</v>
      </c>
      <c r="AI135" s="354">
        <f>AI$123*'VOC eksploatacja samochody'!AJ$50+(0)*'VOC eksploatacja samochody'!AJ$53</f>
        <v>4.7212034653965756E-2</v>
      </c>
      <c r="AJ135" s="354">
        <f>AJ$123*'VOC eksploatacja samochody'!AK$50+(0)*'VOC eksploatacja samochody'!AK$53</f>
        <v>4.756804914400057E-2</v>
      </c>
      <c r="AK135" s="354">
        <f>AK$123*'VOC eksploatacja samochody'!AL$50+(0)*'VOC eksploatacja samochody'!AL$53</f>
        <v>4.7883485283147953E-2</v>
      </c>
      <c r="AL135" s="354">
        <f>AL$123*'VOC eksploatacja samochody'!AM$50+(0)*'VOC eksploatacja samochody'!AM$53</f>
        <v>4.8156529060457254E-2</v>
      </c>
      <c r="AM135" s="354">
        <f>AM$123*'VOC eksploatacja samochody'!AN$50+(0)*'VOC eksploatacja samochody'!AN$53</f>
        <v>4.8385469223366971E-2</v>
      </c>
      <c r="AN135" s="354">
        <f>AN$123*'VOC eksploatacja samochody'!AO$50+(0)*'VOC eksploatacja samochody'!AO$53</f>
        <v>4.8568643486608519E-2</v>
      </c>
      <c r="AO135" s="354">
        <f>AO$123*'VOC eksploatacja samochody'!AP$50+(0)*'VOC eksploatacja samochody'!AP$53</f>
        <v>4.8743235186588026E-2</v>
      </c>
      <c r="AP135" s="354">
        <f>AP$123*'VOC eksploatacja samochody'!AQ$50+(0)*'VOC eksploatacja samochody'!AQ$53</f>
        <v>4.8830962259370829E-2</v>
      </c>
      <c r="AQ135" s="354">
        <f>AQ$123*'VOC eksploatacja samochody'!AR$50+(0)*'VOC eksploatacja samochody'!AR$53</f>
        <v>4.8908004829691099E-2</v>
      </c>
      <c r="AR135" s="354">
        <f>AR$123*'VOC eksploatacja samochody'!AS$50+(0)*'VOC eksploatacja samochody'!AS$53</f>
        <v>4.8973498114302641E-2</v>
      </c>
      <c r="AS135" s="354">
        <f>AS$123*'VOC eksploatacja samochody'!AT$50+(0)*'VOC eksploatacja samochody'!AT$53</f>
        <v>4.8988246301348064E-2</v>
      </c>
      <c r="AT135" s="354">
        <f>AT$123*'VOC eksploatacja samochody'!AU$50+(0)*'VOC eksploatacja samochody'!AU$53</f>
        <v>4.895150971848574E-2</v>
      </c>
      <c r="AU135" s="354">
        <f>AU$123*'VOC eksploatacja samochody'!AV$50+(0)*'VOC eksploatacja samochody'!AV$53</f>
        <v>4.8862698004880294E-2</v>
      </c>
      <c r="AV135" s="354">
        <f>AV$123*'VOC eksploatacja samochody'!AW$50+(0)*'VOC eksploatacja samochody'!AW$53</f>
        <v>4.8760121394333528E-2</v>
      </c>
      <c r="AW135" s="354">
        <f>AW$123*'VOC eksploatacja samochody'!AX$50+(0)*'VOC eksploatacja samochody'!AX$53</f>
        <v>4.8642896958427773E-2</v>
      </c>
      <c r="AX135" s="354">
        <f>AX$123*'VOC eksploatacja samochody'!AY$50+(0)*'VOC eksploatacja samochody'!AY$53</f>
        <v>4.8510410121358843E-2</v>
      </c>
      <c r="AY135" s="354">
        <f>AY$123*'VOC eksploatacja samochody'!AZ$50+(0)*'VOC eksploatacja samochody'!AZ$53</f>
        <v>4.9254898919051909E-2</v>
      </c>
      <c r="AZ135" s="354">
        <f>AZ$123*'VOC eksploatacja samochody'!BA$50+(0)*'VOC eksploatacja samochody'!BA$53</f>
        <v>5.0004241238876521E-2</v>
      </c>
      <c r="BA135" s="354">
        <f>BA$123*'VOC eksploatacja samochody'!BB$50+(0)*'VOC eksploatacja samochody'!BB$53</f>
        <v>5.0764983722433134E-2</v>
      </c>
      <c r="BB135" s="354">
        <f>BB$123*'VOC eksploatacja samochody'!BC$50+(0)*'VOC eksploatacja samochody'!BC$53</f>
        <v>5.1537299806787389E-2</v>
      </c>
      <c r="BC135" s="354">
        <f>BC$123*'VOC eksploatacja samochody'!BD$50+(0)*'VOC eksploatacja samochody'!BD$53</f>
        <v>5.2321365567599996E-2</v>
      </c>
      <c r="BD135" s="354">
        <f>BD$123*'VOC eksploatacja samochody'!BE$50+(0)*'VOC eksploatacja samochody'!BE$53</f>
        <v>5.3117359759269164E-2</v>
      </c>
      <c r="BE135" s="354">
        <f>BE$123*'VOC eksploatacja samochody'!BF$50+(0)*'VOC eksploatacja samochody'!BF$53</f>
        <v>5.3968167989711137E-2</v>
      </c>
      <c r="BF135" s="354">
        <f>BF$123*'VOC eksploatacja samochody'!BG$50+(0)*'VOC eksploatacja samochody'!BG$53</f>
        <v>5.4832604055728304E-2</v>
      </c>
      <c r="BG135" s="354">
        <f>BG$123*'VOC eksploatacja samochody'!BH$50+(0)*'VOC eksploatacja samochody'!BH$53</f>
        <v>5.5710886241413154E-2</v>
      </c>
      <c r="BH135" s="354">
        <f>BH$123*'VOC eksploatacja samochody'!BI$50+(0)*'VOC eksploatacja samochody'!BI$53</f>
        <v>5.6648025547994856E-2</v>
      </c>
      <c r="BI135" s="354">
        <f>BI$123*'VOC eksploatacja samochody'!BJ$50+(0)*'VOC eksploatacja samochody'!BJ$53</f>
        <v>5.7600928920438568E-2</v>
      </c>
    </row>
    <row r="136" spans="1:61" ht="45">
      <c r="A136" s="352" t="s">
        <v>515</v>
      </c>
      <c r="B136" s="353"/>
      <c r="C136" s="353"/>
      <c r="D136" s="353"/>
      <c r="E136" s="353"/>
      <c r="F136" s="353"/>
      <c r="G136" s="353"/>
      <c r="H136" s="353"/>
      <c r="I136" s="353"/>
      <c r="J136" s="353"/>
      <c r="K136" s="353"/>
      <c r="L136" s="353"/>
      <c r="M136" s="353"/>
      <c r="N136" s="353"/>
      <c r="O136" s="353"/>
      <c r="P136" s="353"/>
      <c r="Q136" s="353"/>
      <c r="R136" s="353"/>
      <c r="S136" s="353"/>
      <c r="T136" s="354">
        <f>(T$103*$R$116)*'VOC eksploatacja samochody'!U$57+(0)*'VOC eksploatacja samochody'!U$58</f>
        <v>0.28050339509658301</v>
      </c>
      <c r="U136" s="354">
        <f>(U$103*$R$116)*'VOC eksploatacja samochody'!V$57+(0)*'VOC eksploatacja samochody'!V$58</f>
        <v>0.2849201092067109</v>
      </c>
      <c r="V136" s="354">
        <f>(V$103*$R$116)*'VOC eksploatacja samochody'!W$57+(0)*'VOC eksploatacja samochody'!W$58</f>
        <v>0.31365364056604705</v>
      </c>
      <c r="W136" s="354">
        <f>(W$103*$R$116)*'VOC eksploatacja samochody'!X$57+(0)*'VOC eksploatacja samochody'!X$58</f>
        <v>0.32368845453010753</v>
      </c>
      <c r="X136" s="354">
        <f>(X$103*$R$116)*'VOC eksploatacja samochody'!Y$57+(0)*'VOC eksploatacja samochody'!Y$58</f>
        <v>0.33253046707154738</v>
      </c>
      <c r="Y136" s="354">
        <f>(Y$103*$R$116)*'VOC eksploatacja samochody'!Z$57+(0)*'VOC eksploatacja samochody'!Z$58</f>
        <v>0.34112872408766315</v>
      </c>
      <c r="Z136" s="354">
        <f>(Z$103*$R$116)*'VOC eksploatacja samochody'!AA$57+(0)*'VOC eksploatacja samochody'!AA$58</f>
        <v>0.35027344419135614</v>
      </c>
      <c r="AA136" s="354">
        <f>(AA$103*$R$116)*'VOC eksploatacja samochody'!AB$57+(0)*'VOC eksploatacja samochody'!AB$58</f>
        <v>0.35943474275027648</v>
      </c>
      <c r="AB136" s="354">
        <f>(AB$103*$R$116)*'VOC eksploatacja samochody'!AC$57+(0)*'VOC eksploatacja samochody'!AC$58</f>
        <v>0.36888969551093453</v>
      </c>
      <c r="AC136" s="354">
        <f>(AC$103*$R$116)*'VOC eksploatacja samochody'!AD$57+(0)*'VOC eksploatacja samochody'!AD$58</f>
        <v>0.37835246667541839</v>
      </c>
      <c r="AD136" s="354">
        <f>(AD$103*$R$116)*'VOC eksploatacja samochody'!AE$57+(0)*'VOC eksploatacja samochody'!AE$58</f>
        <v>0.38780949377352875</v>
      </c>
      <c r="AE136" s="354">
        <f>(AE$103*$R$116)*'VOC eksploatacja samochody'!AF$57+(0)*'VOC eksploatacja samochody'!AF$58</f>
        <v>0.39724635545685016</v>
      </c>
      <c r="AF136" s="354">
        <f>(AF$103*$R$116)*'VOC eksploatacja samochody'!AG$57+(0)*'VOC eksploatacja samochody'!AG$58</f>
        <v>0.40697578481737567</v>
      </c>
      <c r="AG136" s="354">
        <f>(AG$103*$R$116)*'VOC eksploatacja samochody'!AH$57+(0)*'VOC eksploatacja samochody'!AH$58</f>
        <v>0.41667730679153914</v>
      </c>
      <c r="AH136" s="354">
        <f>(AH$103*$R$116)*'VOC eksploatacja samochody'!AI$57+(0)*'VOC eksploatacja samochody'!AI$58</f>
        <v>0.42666755548752716</v>
      </c>
      <c r="AI136" s="354">
        <f>(AI$103*$R$116)*'VOC eksploatacja samochody'!AJ$57+(0)*'VOC eksploatacja samochody'!AJ$58</f>
        <v>0.43660813752694355</v>
      </c>
      <c r="AJ136" s="354">
        <f>(AJ$103*$R$116)*'VOC eksploatacja samochody'!AK$57+(0)*'VOC eksploatacja samochody'!AK$58</f>
        <v>0.44647742439116583</v>
      </c>
      <c r="AK136" s="354">
        <f>(AK$103*$R$116)*'VOC eksploatacja samochody'!AL$57+(0)*'VOC eksploatacja samochody'!AL$58</f>
        <v>0.45625964847026279</v>
      </c>
      <c r="AL136" s="354">
        <f>(AL$103*$R$116)*'VOC eksploatacja samochody'!AM$57+(0)*'VOC eksploatacja samochody'!AM$58</f>
        <v>0.46593323311859974</v>
      </c>
      <c r="AM136" s="354">
        <f>(AM$103*$R$116)*'VOC eksploatacja samochody'!AN$57+(0)*'VOC eksploatacja samochody'!AN$58</f>
        <v>0.47547626052085051</v>
      </c>
      <c r="AN136" s="354">
        <f>(AN$103*$R$116)*'VOC eksploatacja samochody'!AO$57+(0)*'VOC eksploatacja samochody'!AO$58</f>
        <v>0.48486590756347719</v>
      </c>
      <c r="AO136" s="354">
        <f>(AO$103*$R$116)*'VOC eksploatacja samochody'!AP$57+(0)*'VOC eksploatacja samochody'!AP$58</f>
        <v>0.49447194232179675</v>
      </c>
      <c r="AP136" s="354">
        <f>(AP$103*$R$116)*'VOC eksploatacja samochody'!AQ$57+(0)*'VOC eksploatacja samochody'!AQ$58</f>
        <v>0.50349785759352528</v>
      </c>
      <c r="AQ136" s="354">
        <f>(AQ$103*$R$116)*'VOC eksploatacja samochody'!AR$57+(0)*'VOC eksploatacja samochody'!AR$58</f>
        <v>0.5127132046277999</v>
      </c>
      <c r="AR136" s="354">
        <f>(AR$103*$R$116)*'VOC eksploatacja samochody'!AS$57+(0)*'VOC eksploatacja samochody'!AS$58</f>
        <v>0.52211841463251818</v>
      </c>
      <c r="AS136" s="354">
        <f>(AS$103*$R$116)*'VOC eksploatacja samochody'!AT$57+(0)*'VOC eksploatacja samochody'!AT$58</f>
        <v>0.53129823240986829</v>
      </c>
      <c r="AT136" s="354">
        <f>(AT$103*$R$116)*'VOC eksploatacja samochody'!AU$57+(0)*'VOC eksploatacja samochody'!AU$58</f>
        <v>0.54023260822692365</v>
      </c>
      <c r="AU136" s="354">
        <f>(AU$103*$R$116)*'VOC eksploatacja samochody'!AV$57+(0)*'VOC eksploatacja samochody'!AV$58</f>
        <v>0.54890173458839964</v>
      </c>
      <c r="AV136" s="354">
        <f>(AV$103*$R$116)*'VOC eksploatacja samochody'!AW$57+(0)*'VOC eksploatacja samochody'!AW$58</f>
        <v>0.55772931425912442</v>
      </c>
      <c r="AW136" s="354">
        <f>(AW$103*$R$116)*'VOC eksploatacja samochody'!AX$57+(0)*'VOC eksploatacja samochody'!AX$58</f>
        <v>0.56671388237220077</v>
      </c>
      <c r="AX136" s="354">
        <f>(AX$103*$R$116)*'VOC eksploatacja samochody'!AY$57+(0)*'VOC eksploatacja samochody'!AY$58</f>
        <v>0.57585704882350963</v>
      </c>
      <c r="AY136" s="354">
        <f>(AY$103*$R$116)*'VOC eksploatacja samochody'!AZ$57+(0)*'VOC eksploatacja samochody'!AZ$58</f>
        <v>0.58469472141479806</v>
      </c>
      <c r="AZ136" s="354">
        <f>(AZ$103*$R$116)*'VOC eksploatacja samochody'!BA$57+(0)*'VOC eksploatacja samochody'!BA$58</f>
        <v>0.59359000916382432</v>
      </c>
      <c r="BA136" s="354">
        <f>(BA$103*$R$116)*'VOC eksploatacja samochody'!BB$57+(0)*'VOC eksploatacja samochody'!BB$58</f>
        <v>0.60262062589948229</v>
      </c>
      <c r="BB136" s="354">
        <f>(BB$103*$R$116)*'VOC eksploatacja samochody'!BC$57+(0)*'VOC eksploatacja samochody'!BC$58</f>
        <v>0.61178863045731946</v>
      </c>
      <c r="BC136" s="354">
        <f>(BC$103*$R$116)*'VOC eksploatacja samochody'!BD$57+(0)*'VOC eksploatacja samochody'!BD$58</f>
        <v>0.62109611299509981</v>
      </c>
      <c r="BD136" s="354">
        <f>(BD$103*$R$116)*'VOC eksploatacja samochody'!BE$57+(0)*'VOC eksploatacja samochody'!BE$58</f>
        <v>0.63054519546932608</v>
      </c>
      <c r="BE136" s="354">
        <f>(BE$103*$R$116)*'VOC eksploatacja samochody'!BF$57+(0)*'VOC eksploatacja samochody'!BF$58</f>
        <v>0.64064496406479599</v>
      </c>
      <c r="BF136" s="354">
        <f>(BF$103*$R$116)*'VOC eksploatacja samochody'!BG$57+(0)*'VOC eksploatacja samochody'!BG$58</f>
        <v>0.65090650587876797</v>
      </c>
      <c r="BG136" s="354">
        <f>(BG$103*$R$116)*'VOC eksploatacja samochody'!BH$57+(0)*'VOC eksploatacja samochody'!BH$58</f>
        <v>0.66133241211657268</v>
      </c>
      <c r="BH136" s="354">
        <f>(BH$103*$R$116)*'VOC eksploatacja samochody'!BI$57+(0)*'VOC eksploatacja samochody'!BI$58</f>
        <v>0.67245699906759171</v>
      </c>
      <c r="BI136" s="354">
        <f>(BI$103*$R$116)*'VOC eksploatacja samochody'!BJ$57+(0)*'VOC eksploatacja samochody'!BJ$58</f>
        <v>0.68376871798517314</v>
      </c>
    </row>
    <row r="137" spans="1:61"/>
    <row r="138" spans="1:61" hidden="1"/>
    <row r="139" spans="1:61" hidden="1"/>
    <row r="140" spans="1:61" hidden="1"/>
    <row r="141" spans="1:61" hidden="1"/>
    <row r="142" spans="1:61" hidden="1"/>
    <row r="143" spans="1:61" hidden="1"/>
    <row r="144" spans="1:61" hidden="1"/>
    <row r="145" hidden="1"/>
    <row r="146" hidden="1"/>
    <row r="147" hidden="1"/>
    <row r="148" hidden="1"/>
    <row r="149" hidden="1"/>
    <row r="150" hidden="1"/>
    <row r="151" hidden="1"/>
    <row r="152" hidden="1"/>
    <row r="153" hidden="1"/>
  </sheetData>
  <mergeCells count="19">
    <mergeCell ref="A6:V7"/>
    <mergeCell ref="A33:V37"/>
    <mergeCell ref="A38:V40"/>
    <mergeCell ref="A41:V42"/>
    <mergeCell ref="A54:V58"/>
    <mergeCell ref="A10:A11"/>
    <mergeCell ref="B10:B11"/>
    <mergeCell ref="A133:A134"/>
    <mergeCell ref="A126:V127"/>
    <mergeCell ref="A130:V132"/>
    <mergeCell ref="A128:V129"/>
    <mergeCell ref="P61:P62"/>
    <mergeCell ref="A100:A101"/>
    <mergeCell ref="A105:A106"/>
    <mergeCell ref="A121:A122"/>
    <mergeCell ref="A80:V81"/>
    <mergeCell ref="A98:V99"/>
    <mergeCell ref="A61:A62"/>
    <mergeCell ref="B61:B62"/>
  </mergeCells>
  <dataValidations count="1">
    <dataValidation type="decimal" allowBlank="1" showInputMessage="1" showErrorMessage="1" promptTitle="Udziały %" prompt="Tylko wartości od 0% do 100% włącznie." sqref="P51:P52 P46:P49">
      <formula1>0</formula1>
      <formula2>1</formula2>
    </dataValidation>
  </dataValidations>
  <hyperlinks>
    <hyperlink ref="A82" location="Indeksacja!A29" display="Nota metodologiczna"/>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Col="1"/>
  <cols>
    <col min="1" max="1" width="29.28515625" customWidth="1"/>
    <col min="2" max="2" width="10" bestFit="1" customWidth="1"/>
    <col min="3" max="15" width="1.7109375" hidden="1" customWidth="1" outlineLevel="1"/>
    <col min="16" max="16" width="13.5703125" bestFit="1" customWidth="1" collapsed="1"/>
    <col min="17" max="61" width="13.5703125" bestFit="1" customWidth="1"/>
    <col min="62" max="62" width="9.140625" customWidth="1"/>
    <col min="63" max="16384" width="9.140625" hidden="1"/>
  </cols>
  <sheetData>
    <row r="1" spans="1:61" ht="21">
      <c r="A1" s="4" t="s">
        <v>336</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69" t="str">
        <f>Indeksacja!$A$2</f>
        <v>Dla roku bazowego 2022 właściwe do zastosowania w analizie są wartości kosztów jednostkowych określone według poziomu cenowego z końca roku poprzedniego, tzn. 2021.</v>
      </c>
    </row>
    <row r="3" spans="1:61"/>
    <row r="4" spans="1:61">
      <c r="A4" s="350" t="s">
        <v>826</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row>
    <row r="5" spans="1:61">
      <c r="A5" s="351"/>
      <c r="B5" s="242"/>
      <c r="C5" s="242"/>
      <c r="D5" s="242"/>
      <c r="E5" s="242"/>
      <c r="F5" s="242"/>
      <c r="G5" s="242"/>
      <c r="H5" s="242"/>
      <c r="I5" s="242"/>
      <c r="J5" s="242"/>
      <c r="K5" s="242"/>
      <c r="L5" s="242"/>
      <c r="M5" s="242"/>
      <c r="N5" s="242"/>
      <c r="O5" s="242"/>
      <c r="P5" s="242"/>
      <c r="Q5" s="242"/>
      <c r="R5" s="242"/>
      <c r="S5" s="242">
        <v>2018</v>
      </c>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row>
    <row r="6" spans="1:61">
      <c r="A6" s="368" t="s">
        <v>827</v>
      </c>
      <c r="B6" s="382"/>
      <c r="C6" s="383"/>
      <c r="D6" s="383"/>
      <c r="E6" s="383"/>
      <c r="F6" s="383"/>
      <c r="G6" s="383"/>
      <c r="H6" s="383"/>
      <c r="I6" s="383"/>
      <c r="J6" s="383"/>
      <c r="K6" s="383"/>
      <c r="L6" s="383"/>
      <c r="M6" s="383"/>
      <c r="N6" s="383"/>
      <c r="O6" s="383"/>
      <c r="P6" s="383"/>
      <c r="Q6" s="383"/>
      <c r="R6" s="383"/>
      <c r="S6" s="382">
        <v>2392125</v>
      </c>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row>
    <row r="7" spans="1:61">
      <c r="A7" s="368" t="s">
        <v>828</v>
      </c>
      <c r="B7" s="382"/>
      <c r="C7" s="383"/>
      <c r="D7" s="383"/>
      <c r="E7" s="383"/>
      <c r="F7" s="383"/>
      <c r="G7" s="383"/>
      <c r="H7" s="383"/>
      <c r="I7" s="383"/>
      <c r="J7" s="383"/>
      <c r="K7" s="383"/>
      <c r="L7" s="383"/>
      <c r="M7" s="383"/>
      <c r="N7" s="383"/>
      <c r="O7" s="383"/>
      <c r="P7" s="383"/>
      <c r="Q7" s="383"/>
      <c r="R7" s="383"/>
      <c r="S7" s="382">
        <v>3309300</v>
      </c>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row>
    <row r="8" spans="1:61">
      <c r="A8" s="368" t="s">
        <v>829</v>
      </c>
      <c r="B8" s="382"/>
      <c r="C8" s="383"/>
      <c r="D8" s="383"/>
      <c r="E8" s="383"/>
      <c r="F8" s="383"/>
      <c r="G8" s="383"/>
      <c r="H8" s="383"/>
      <c r="I8" s="383"/>
      <c r="J8" s="383"/>
      <c r="K8" s="383"/>
      <c r="L8" s="383"/>
      <c r="M8" s="383"/>
      <c r="N8" s="383"/>
      <c r="O8" s="383"/>
      <c r="P8" s="383"/>
      <c r="Q8" s="383"/>
      <c r="R8" s="383"/>
      <c r="S8" s="382">
        <v>48165</v>
      </c>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row>
    <row r="9" spans="1:61">
      <c r="A9" s="368" t="s">
        <v>830</v>
      </c>
      <c r="B9" s="382"/>
      <c r="C9" s="383"/>
      <c r="D9" s="383"/>
      <c r="E9" s="383"/>
      <c r="F9" s="383"/>
      <c r="G9" s="383"/>
      <c r="H9" s="383"/>
      <c r="I9" s="383"/>
      <c r="J9" s="383"/>
      <c r="K9" s="383"/>
      <c r="L9" s="383"/>
      <c r="M9" s="383"/>
      <c r="N9" s="383"/>
      <c r="O9" s="383"/>
      <c r="P9" s="383"/>
      <c r="Q9" s="383"/>
      <c r="R9" s="383"/>
      <c r="S9" s="382">
        <v>15385</v>
      </c>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row>
    <row r="10" spans="1:61">
      <c r="A10" s="368" t="s">
        <v>831</v>
      </c>
      <c r="B10" s="382"/>
      <c r="C10" s="383"/>
      <c r="D10" s="383"/>
      <c r="E10" s="383"/>
      <c r="F10" s="383"/>
      <c r="G10" s="383"/>
      <c r="H10" s="383"/>
      <c r="I10" s="383"/>
      <c r="J10" s="383"/>
      <c r="K10" s="383"/>
      <c r="L10" s="383"/>
      <c r="M10" s="383"/>
      <c r="N10" s="383"/>
      <c r="O10" s="383"/>
      <c r="P10" s="383"/>
      <c r="Q10" s="383"/>
      <c r="R10" s="383"/>
      <c r="S10" s="382">
        <v>1420191</v>
      </c>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row>
    <row r="11" spans="1:61">
      <c r="A11" s="384" t="s">
        <v>198</v>
      </c>
      <c r="B11" s="81"/>
      <c r="C11" s="81"/>
      <c r="D11" s="81"/>
      <c r="E11" s="81"/>
      <c r="F11" s="81"/>
      <c r="G11" s="81"/>
      <c r="H11" s="81"/>
      <c r="I11" s="81"/>
      <c r="J11" s="81"/>
      <c r="K11" s="81"/>
      <c r="L11" s="81"/>
      <c r="M11" s="81"/>
      <c r="N11" s="81"/>
      <c r="O11" s="81"/>
      <c r="P11" s="81"/>
      <c r="Q11" s="81"/>
      <c r="R11" s="81"/>
      <c r="S11" s="81"/>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row>
    <row r="12" spans="1:61">
      <c r="A12" s="838" t="s">
        <v>832</v>
      </c>
      <c r="B12" s="838"/>
      <c r="C12" s="838"/>
      <c r="D12" s="838"/>
      <c r="E12" s="838"/>
      <c r="F12" s="838"/>
      <c r="G12" s="838"/>
      <c r="H12" s="838"/>
      <c r="I12" s="838"/>
      <c r="J12" s="838"/>
      <c r="K12" s="838"/>
      <c r="L12" s="838"/>
      <c r="M12" s="838"/>
      <c r="N12" s="838"/>
      <c r="O12" s="838"/>
      <c r="P12" s="838"/>
      <c r="Q12" s="838"/>
      <c r="R12" s="838"/>
      <c r="S12" s="838"/>
      <c r="T12" s="838"/>
      <c r="U12" s="838"/>
      <c r="V12" s="838"/>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row>
    <row r="13" spans="1:61" s="694" customFormat="1">
      <c r="A13" s="838"/>
      <c r="B13" s="838"/>
      <c r="C13" s="838"/>
      <c r="D13" s="838"/>
      <c r="E13" s="838"/>
      <c r="F13" s="838"/>
      <c r="G13" s="838"/>
      <c r="H13" s="838"/>
      <c r="I13" s="838"/>
      <c r="J13" s="838"/>
      <c r="K13" s="838"/>
      <c r="L13" s="838"/>
      <c r="M13" s="838"/>
      <c r="N13" s="838"/>
      <c r="O13" s="838"/>
      <c r="P13" s="838"/>
      <c r="Q13" s="838"/>
      <c r="R13" s="838"/>
      <c r="S13" s="838"/>
      <c r="T13" s="838"/>
      <c r="U13" s="838"/>
      <c r="V13" s="838"/>
    </row>
    <row r="14" spans="1:61">
      <c r="A14" s="841" t="s">
        <v>833</v>
      </c>
      <c r="B14" s="780"/>
      <c r="C14" s="780"/>
      <c r="D14" s="780"/>
      <c r="E14" s="780"/>
      <c r="F14" s="780"/>
      <c r="G14" s="780"/>
      <c r="H14" s="780"/>
      <c r="I14" s="780"/>
      <c r="J14" s="780"/>
      <c r="K14" s="780"/>
      <c r="L14" s="780"/>
      <c r="M14" s="780"/>
      <c r="N14" s="780"/>
      <c r="O14" s="780"/>
      <c r="P14" s="780"/>
      <c r="Q14" s="780"/>
      <c r="R14" s="780"/>
      <c r="S14" s="780"/>
      <c r="T14" s="780"/>
      <c r="U14" s="780"/>
      <c r="V14" s="780"/>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row>
    <row r="15" spans="1:61" s="694" customFormat="1">
      <c r="A15" s="841"/>
      <c r="B15" s="780"/>
      <c r="C15" s="780"/>
      <c r="D15" s="780"/>
      <c r="E15" s="780"/>
      <c r="F15" s="780"/>
      <c r="G15" s="780"/>
      <c r="H15" s="780"/>
      <c r="I15" s="780"/>
      <c r="J15" s="780"/>
      <c r="K15" s="780"/>
      <c r="L15" s="780"/>
      <c r="M15" s="780"/>
      <c r="N15" s="780"/>
      <c r="O15" s="780"/>
      <c r="P15" s="780"/>
      <c r="Q15" s="780"/>
      <c r="R15" s="780"/>
      <c r="S15" s="780"/>
      <c r="T15" s="780"/>
      <c r="U15" s="780"/>
      <c r="V15" s="780"/>
    </row>
    <row r="16" spans="1:61" s="694" customFormat="1">
      <c r="A16" s="841"/>
      <c r="B16" s="780"/>
      <c r="C16" s="780"/>
      <c r="D16" s="780"/>
      <c r="E16" s="780"/>
      <c r="F16" s="780"/>
      <c r="G16" s="780"/>
      <c r="H16" s="780"/>
      <c r="I16" s="780"/>
      <c r="J16" s="780"/>
      <c r="K16" s="780"/>
      <c r="L16" s="780"/>
      <c r="M16" s="780"/>
      <c r="N16" s="780"/>
      <c r="O16" s="780"/>
      <c r="P16" s="780"/>
      <c r="Q16" s="780"/>
      <c r="R16" s="780"/>
      <c r="S16" s="780"/>
      <c r="T16" s="780"/>
      <c r="U16" s="780"/>
      <c r="V16" s="780"/>
    </row>
    <row r="17" spans="1:61" s="694" customFormat="1">
      <c r="A17" s="841"/>
      <c r="B17" s="780"/>
      <c r="C17" s="780"/>
      <c r="D17" s="780"/>
      <c r="E17" s="780"/>
      <c r="F17" s="780"/>
      <c r="G17" s="780"/>
      <c r="H17" s="780"/>
      <c r="I17" s="780"/>
      <c r="J17" s="780"/>
      <c r="K17" s="780"/>
      <c r="L17" s="780"/>
      <c r="M17" s="780"/>
      <c r="N17" s="780"/>
      <c r="O17" s="780"/>
      <c r="P17" s="780"/>
      <c r="Q17" s="780"/>
      <c r="R17" s="780"/>
      <c r="S17" s="780"/>
      <c r="T17" s="780"/>
      <c r="U17" s="780"/>
      <c r="V17" s="780"/>
    </row>
    <row r="18" spans="1:61">
      <c r="A18" s="838" t="s">
        <v>834</v>
      </c>
      <c r="B18" s="838"/>
      <c r="C18" s="838"/>
      <c r="D18" s="838"/>
      <c r="E18" s="838"/>
      <c r="F18" s="838"/>
      <c r="G18" s="838"/>
      <c r="H18" s="838"/>
      <c r="I18" s="838"/>
      <c r="J18" s="838"/>
      <c r="K18" s="838"/>
      <c r="L18" s="838"/>
      <c r="M18" s="838"/>
      <c r="N18" s="838"/>
      <c r="O18" s="838"/>
      <c r="P18" s="838"/>
      <c r="Q18" s="838"/>
      <c r="R18" s="838"/>
      <c r="S18" s="838"/>
      <c r="T18" s="838"/>
      <c r="U18" s="838"/>
      <c r="V18" s="838"/>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row>
    <row r="19" spans="1:61" s="694" customFormat="1">
      <c r="A19" s="838"/>
      <c r="B19" s="838"/>
      <c r="C19" s="838"/>
      <c r="D19" s="838"/>
      <c r="E19" s="838"/>
      <c r="F19" s="838"/>
      <c r="G19" s="838"/>
      <c r="H19" s="838"/>
      <c r="I19" s="838"/>
      <c r="J19" s="838"/>
      <c r="K19" s="838"/>
      <c r="L19" s="838"/>
      <c r="M19" s="838"/>
      <c r="N19" s="838"/>
      <c r="O19" s="838"/>
      <c r="P19" s="838"/>
      <c r="Q19" s="838"/>
      <c r="R19" s="838"/>
      <c r="S19" s="838"/>
      <c r="T19" s="838"/>
      <c r="U19" s="838"/>
      <c r="V19" s="838"/>
    </row>
    <row r="20" spans="1:61">
      <c r="A20" s="35" t="s">
        <v>835</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row>
    <row r="21" spans="1:61">
      <c r="A21" s="35"/>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row>
    <row r="22" spans="1:61">
      <c r="A22" s="350" t="s">
        <v>836</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row>
    <row r="23" spans="1:61">
      <c r="A23" s="242"/>
      <c r="B23" s="242"/>
      <c r="C23" s="242"/>
      <c r="D23" s="242"/>
      <c r="E23" s="242"/>
      <c r="F23" s="242"/>
      <c r="G23" s="242"/>
      <c r="H23" s="242"/>
      <c r="I23" s="242"/>
      <c r="J23" s="242"/>
      <c r="K23" s="242"/>
      <c r="L23" s="242"/>
      <c r="M23" s="242"/>
      <c r="N23" s="242"/>
      <c r="O23" s="242"/>
      <c r="P23" s="242">
        <v>2015</v>
      </c>
      <c r="Q23" s="242">
        <f t="shared" ref="Q23:T23" si="0">P23+1</f>
        <v>2016</v>
      </c>
      <c r="R23" s="242">
        <f t="shared" si="0"/>
        <v>2017</v>
      </c>
      <c r="S23" s="242">
        <f t="shared" si="0"/>
        <v>2018</v>
      </c>
      <c r="T23" s="242">
        <f t="shared" si="0"/>
        <v>2019</v>
      </c>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row>
    <row r="24" spans="1:61">
      <c r="A24" s="386" t="s">
        <v>199</v>
      </c>
      <c r="B24" s="382"/>
      <c r="C24" s="382"/>
      <c r="D24" s="382"/>
      <c r="E24" s="382"/>
      <c r="F24" s="382"/>
      <c r="G24" s="382"/>
      <c r="H24" s="382"/>
      <c r="I24" s="382"/>
      <c r="J24" s="382"/>
      <c r="K24" s="382"/>
      <c r="L24" s="382"/>
      <c r="M24" s="382"/>
      <c r="N24" s="382"/>
      <c r="O24" s="382"/>
      <c r="P24" s="382">
        <v>32967</v>
      </c>
      <c r="Q24" s="382">
        <v>33664</v>
      </c>
      <c r="R24" s="382">
        <v>32760</v>
      </c>
      <c r="S24" s="382">
        <v>31674</v>
      </c>
      <c r="T24" s="382">
        <v>30288</v>
      </c>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row>
    <row r="25" spans="1:61">
      <c r="A25" s="386" t="s">
        <v>200</v>
      </c>
      <c r="B25" s="382"/>
      <c r="C25" s="382"/>
      <c r="D25" s="382"/>
      <c r="E25" s="382"/>
      <c r="F25" s="382"/>
      <c r="G25" s="382"/>
      <c r="H25" s="382"/>
      <c r="I25" s="382"/>
      <c r="J25" s="382"/>
      <c r="K25" s="382"/>
      <c r="L25" s="382"/>
      <c r="M25" s="382"/>
      <c r="N25" s="382"/>
      <c r="O25" s="382"/>
      <c r="P25" s="382">
        <v>2938</v>
      </c>
      <c r="Q25" s="382">
        <v>3026</v>
      </c>
      <c r="R25" s="382">
        <v>2831</v>
      </c>
      <c r="S25" s="382">
        <v>2862</v>
      </c>
      <c r="T25" s="382">
        <v>2909</v>
      </c>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row>
    <row r="26" spans="1:61">
      <c r="A26" s="386" t="s">
        <v>201</v>
      </c>
      <c r="B26" s="382"/>
      <c r="C26" s="382"/>
      <c r="D26" s="382"/>
      <c r="E26" s="382"/>
      <c r="F26" s="382"/>
      <c r="G26" s="382"/>
      <c r="H26" s="382"/>
      <c r="I26" s="382"/>
      <c r="J26" s="382"/>
      <c r="K26" s="382"/>
      <c r="L26" s="382"/>
      <c r="M26" s="382"/>
      <c r="N26" s="382"/>
      <c r="O26" s="382"/>
      <c r="P26" s="382">
        <v>39778</v>
      </c>
      <c r="Q26" s="382">
        <v>40766</v>
      </c>
      <c r="R26" s="382">
        <v>39466</v>
      </c>
      <c r="S26" s="382">
        <v>37359</v>
      </c>
      <c r="T26" s="382">
        <v>35477</v>
      </c>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row>
    <row r="27" spans="1:61">
      <c r="A27" s="386" t="s">
        <v>202</v>
      </c>
      <c r="B27" s="382"/>
      <c r="C27" s="382"/>
      <c r="D27" s="382"/>
      <c r="E27" s="382"/>
      <c r="F27" s="382"/>
      <c r="G27" s="382"/>
      <c r="H27" s="382"/>
      <c r="I27" s="382"/>
      <c r="J27" s="382"/>
      <c r="K27" s="382"/>
      <c r="L27" s="382"/>
      <c r="M27" s="382"/>
      <c r="N27" s="382"/>
      <c r="O27" s="382"/>
      <c r="P27" s="382">
        <v>11200</v>
      </c>
      <c r="Q27" s="382">
        <v>12109</v>
      </c>
      <c r="R27" s="382">
        <v>11103</v>
      </c>
      <c r="S27" s="382">
        <v>10963</v>
      </c>
      <c r="T27" s="382">
        <v>10633</v>
      </c>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row>
    <row r="28" spans="1:61">
      <c r="A28" s="842" t="s">
        <v>837</v>
      </c>
      <c r="B28" s="842"/>
      <c r="C28" s="842"/>
      <c r="D28" s="842"/>
      <c r="E28" s="842"/>
      <c r="F28" s="842"/>
      <c r="G28" s="842"/>
      <c r="H28" s="842"/>
      <c r="I28" s="842"/>
      <c r="J28" s="842"/>
      <c r="K28" s="842"/>
      <c r="L28" s="842"/>
      <c r="M28" s="842"/>
      <c r="N28" s="842"/>
      <c r="O28" s="842"/>
      <c r="P28" s="842"/>
      <c r="Q28" s="842"/>
      <c r="R28" s="842"/>
      <c r="S28" s="842"/>
      <c r="T28" s="842"/>
      <c r="U28" s="842"/>
      <c r="V28" s="842"/>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row>
    <row r="29" spans="1:61" s="694" customFormat="1">
      <c r="A29" s="842"/>
      <c r="B29" s="842"/>
      <c r="C29" s="842"/>
      <c r="D29" s="842"/>
      <c r="E29" s="842"/>
      <c r="F29" s="842"/>
      <c r="G29" s="842"/>
      <c r="H29" s="842"/>
      <c r="I29" s="842"/>
      <c r="J29" s="842"/>
      <c r="K29" s="842"/>
      <c r="L29" s="842"/>
      <c r="M29" s="842"/>
      <c r="N29" s="842"/>
      <c r="O29" s="842"/>
      <c r="P29" s="842"/>
      <c r="Q29" s="842"/>
      <c r="R29" s="842"/>
      <c r="S29" s="842"/>
      <c r="T29" s="842"/>
      <c r="U29" s="842"/>
      <c r="V29" s="842"/>
    </row>
    <row r="30" spans="1:61">
      <c r="A30" s="388" t="s">
        <v>203</v>
      </c>
      <c r="B30" s="387"/>
      <c r="C30" s="387"/>
      <c r="D30" s="387"/>
      <c r="E30" s="387"/>
      <c r="F30" s="387"/>
      <c r="G30" s="387"/>
      <c r="H30" s="387"/>
      <c r="I30" s="387"/>
      <c r="J30" s="387"/>
      <c r="K30" s="387"/>
      <c r="L30" s="387"/>
      <c r="M30" s="387"/>
      <c r="N30" s="387"/>
      <c r="O30" s="387"/>
      <c r="P30" s="387"/>
      <c r="Q30" s="387"/>
      <c r="R30" s="387"/>
      <c r="S30" s="387"/>
      <c r="T30" s="387"/>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row>
    <row r="31" spans="1:61">
      <c r="A31" s="35" t="s">
        <v>838</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row>
    <row r="32" spans="1:61">
      <c r="A32" s="35"/>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row>
    <row r="33" spans="1:61">
      <c r="A33" s="350" t="s">
        <v>839</v>
      </c>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row>
    <row r="34" spans="1:61">
      <c r="A34" s="242"/>
      <c r="B34" s="242"/>
      <c r="C34" s="242"/>
      <c r="D34" s="242"/>
      <c r="E34" s="242"/>
      <c r="F34" s="242"/>
      <c r="G34" s="242"/>
      <c r="H34" s="242"/>
      <c r="I34" s="242"/>
      <c r="J34" s="242"/>
      <c r="K34" s="242"/>
      <c r="L34" s="242"/>
      <c r="M34" s="242"/>
      <c r="N34" s="242"/>
      <c r="O34" s="242"/>
      <c r="P34" s="242">
        <v>2015</v>
      </c>
      <c r="Q34" s="242">
        <f t="shared" ref="Q34:T34" si="1">P34+1</f>
        <v>2016</v>
      </c>
      <c r="R34" s="242">
        <f t="shared" si="1"/>
        <v>2017</v>
      </c>
      <c r="S34" s="242">
        <f t="shared" si="1"/>
        <v>2018</v>
      </c>
      <c r="T34" s="242">
        <f t="shared" si="1"/>
        <v>2019</v>
      </c>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row>
    <row r="35" spans="1:61">
      <c r="A35" s="389" t="s">
        <v>202</v>
      </c>
      <c r="B35" s="390"/>
      <c r="C35" s="390"/>
      <c r="D35" s="390"/>
      <c r="E35" s="390"/>
      <c r="F35" s="390"/>
      <c r="G35" s="390"/>
      <c r="H35" s="390"/>
      <c r="I35" s="390"/>
      <c r="J35" s="390"/>
      <c r="K35" s="390"/>
      <c r="L35" s="390"/>
      <c r="M35" s="390"/>
      <c r="N35" s="390"/>
      <c r="O35" s="390"/>
      <c r="P35" s="390">
        <f>P27/P$26</f>
        <v>0.28156267283422998</v>
      </c>
      <c r="Q35" s="390">
        <f>Q27/Q$26</f>
        <v>0.29703674630819799</v>
      </c>
      <c r="R35" s="390">
        <f>R27/R$26</f>
        <v>0.28133076572239396</v>
      </c>
      <c r="S35" s="390">
        <f>S27/S$26</f>
        <v>0.29345003881260207</v>
      </c>
      <c r="T35" s="390">
        <f>T27/T$26</f>
        <v>0.29971530850973871</v>
      </c>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row>
    <row r="36" spans="1:61">
      <c r="A36" s="389" t="s">
        <v>204</v>
      </c>
      <c r="B36" s="390"/>
      <c r="C36" s="390"/>
      <c r="D36" s="390"/>
      <c r="E36" s="390"/>
      <c r="F36" s="390"/>
      <c r="G36" s="390"/>
      <c r="H36" s="390"/>
      <c r="I36" s="390"/>
      <c r="J36" s="390"/>
      <c r="K36" s="390"/>
      <c r="L36" s="390"/>
      <c r="M36" s="390"/>
      <c r="N36" s="390"/>
      <c r="O36" s="390"/>
      <c r="P36" s="390">
        <f>(P26-P27)/P$26</f>
        <v>0.71843732716577002</v>
      </c>
      <c r="Q36" s="390">
        <f>(Q26-Q27)/Q$26</f>
        <v>0.70296325369180201</v>
      </c>
      <c r="R36" s="390">
        <f>(R26-R27)/R$26</f>
        <v>0.71866923427760609</v>
      </c>
      <c r="S36" s="390">
        <f>(S26-S27)/S$26</f>
        <v>0.70654996118739799</v>
      </c>
      <c r="T36" s="390">
        <f>(T26-T27)/T$26</f>
        <v>0.70028469149026129</v>
      </c>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row>
    <row r="37" spans="1:61">
      <c r="A37" s="35"/>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row>
    <row r="38" spans="1:61">
      <c r="A38" s="350" t="s">
        <v>843</v>
      </c>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row>
    <row r="39" spans="1:61" s="534" customFormat="1">
      <c r="A39" s="839"/>
      <c r="B39" s="685" t="s">
        <v>328</v>
      </c>
      <c r="C39" s="671"/>
      <c r="D39" s="671"/>
      <c r="E39" s="671"/>
      <c r="F39" s="671"/>
      <c r="G39" s="671"/>
      <c r="H39" s="671"/>
      <c r="I39" s="671"/>
      <c r="J39" s="671"/>
      <c r="K39" s="671"/>
      <c r="L39" s="671"/>
      <c r="M39" s="671"/>
      <c r="N39" s="671"/>
      <c r="O39" s="671"/>
      <c r="P39" s="674"/>
      <c r="Q39" s="6"/>
      <c r="R39" s="6"/>
      <c r="S39" s="6"/>
      <c r="T39" s="6">
        <v>2020</v>
      </c>
      <c r="U39" s="6">
        <f>T39+1</f>
        <v>2021</v>
      </c>
      <c r="V39" s="6">
        <f t="shared" ref="V39:BI39" si="2">U39+1</f>
        <v>2022</v>
      </c>
      <c r="W39" s="6">
        <f t="shared" si="2"/>
        <v>2023</v>
      </c>
      <c r="X39" s="6">
        <f t="shared" si="2"/>
        <v>2024</v>
      </c>
      <c r="Y39" s="6">
        <f t="shared" si="2"/>
        <v>2025</v>
      </c>
      <c r="Z39" s="6">
        <f t="shared" si="2"/>
        <v>2026</v>
      </c>
      <c r="AA39" s="6">
        <f t="shared" si="2"/>
        <v>2027</v>
      </c>
      <c r="AB39" s="6">
        <f t="shared" si="2"/>
        <v>2028</v>
      </c>
      <c r="AC39" s="6">
        <f t="shared" si="2"/>
        <v>2029</v>
      </c>
      <c r="AD39" s="6">
        <f t="shared" si="2"/>
        <v>2030</v>
      </c>
      <c r="AE39" s="6">
        <f t="shared" si="2"/>
        <v>2031</v>
      </c>
      <c r="AF39" s="6">
        <f t="shared" si="2"/>
        <v>2032</v>
      </c>
      <c r="AG39" s="6">
        <f t="shared" si="2"/>
        <v>2033</v>
      </c>
      <c r="AH39" s="6">
        <f t="shared" si="2"/>
        <v>2034</v>
      </c>
      <c r="AI39" s="6">
        <f t="shared" si="2"/>
        <v>2035</v>
      </c>
      <c r="AJ39" s="6">
        <f t="shared" si="2"/>
        <v>2036</v>
      </c>
      <c r="AK39" s="6">
        <f t="shared" si="2"/>
        <v>2037</v>
      </c>
      <c r="AL39" s="6">
        <f t="shared" si="2"/>
        <v>2038</v>
      </c>
      <c r="AM39" s="6">
        <f t="shared" si="2"/>
        <v>2039</v>
      </c>
      <c r="AN39" s="6">
        <f t="shared" si="2"/>
        <v>2040</v>
      </c>
      <c r="AO39" s="6">
        <f t="shared" si="2"/>
        <v>2041</v>
      </c>
      <c r="AP39" s="6">
        <f t="shared" si="2"/>
        <v>2042</v>
      </c>
      <c r="AQ39" s="6">
        <f t="shared" si="2"/>
        <v>2043</v>
      </c>
      <c r="AR39" s="6">
        <f t="shared" si="2"/>
        <v>2044</v>
      </c>
      <c r="AS39" s="6">
        <f t="shared" si="2"/>
        <v>2045</v>
      </c>
      <c r="AT39" s="6">
        <f t="shared" si="2"/>
        <v>2046</v>
      </c>
      <c r="AU39" s="6">
        <f t="shared" si="2"/>
        <v>2047</v>
      </c>
      <c r="AV39" s="6">
        <f t="shared" si="2"/>
        <v>2048</v>
      </c>
      <c r="AW39" s="6">
        <f t="shared" si="2"/>
        <v>2049</v>
      </c>
      <c r="AX39" s="6">
        <f t="shared" si="2"/>
        <v>2050</v>
      </c>
      <c r="AY39" s="6">
        <f t="shared" si="2"/>
        <v>2051</v>
      </c>
      <c r="AZ39" s="6">
        <f t="shared" si="2"/>
        <v>2052</v>
      </c>
      <c r="BA39" s="6">
        <f t="shared" si="2"/>
        <v>2053</v>
      </c>
      <c r="BB39" s="6">
        <f t="shared" si="2"/>
        <v>2054</v>
      </c>
      <c r="BC39" s="6">
        <f t="shared" si="2"/>
        <v>2055</v>
      </c>
      <c r="BD39" s="6">
        <f t="shared" si="2"/>
        <v>2056</v>
      </c>
      <c r="BE39" s="6">
        <f t="shared" si="2"/>
        <v>2057</v>
      </c>
      <c r="BF39" s="6">
        <f t="shared" si="2"/>
        <v>2058</v>
      </c>
      <c r="BG39" s="6">
        <f t="shared" si="2"/>
        <v>2059</v>
      </c>
      <c r="BH39" s="6">
        <f t="shared" si="2"/>
        <v>2060</v>
      </c>
      <c r="BI39" s="6">
        <f t="shared" si="2"/>
        <v>2061</v>
      </c>
    </row>
    <row r="40" spans="1:61">
      <c r="A40" s="840"/>
      <c r="B40" s="686" t="s">
        <v>530</v>
      </c>
      <c r="C40" s="681"/>
      <c r="D40" s="681"/>
      <c r="E40" s="681"/>
      <c r="F40" s="681"/>
      <c r="G40" s="681"/>
      <c r="H40" s="681"/>
      <c r="I40" s="681"/>
      <c r="J40" s="681"/>
      <c r="K40" s="681"/>
      <c r="L40" s="681"/>
      <c r="M40" s="681"/>
      <c r="N40" s="681"/>
      <c r="O40" s="681"/>
      <c r="P40" s="687"/>
      <c r="Q40" s="683">
        <f>DATE(2016,12,31)</f>
        <v>42735</v>
      </c>
      <c r="R40" s="683">
        <f>DATE(YEAR(Q40+1),12,31)</f>
        <v>43100</v>
      </c>
      <c r="S40" s="683">
        <f t="shared" ref="S40" si="3">DATE(YEAR(R40+1),12,31)</f>
        <v>43465</v>
      </c>
      <c r="T40" s="683">
        <f>DATE(YEAR(S40+1),12,31)</f>
        <v>43830</v>
      </c>
      <c r="U40" s="683">
        <f t="shared" ref="U40:BI40" si="4">DATE(YEAR(T40+1),12,31)</f>
        <v>44196</v>
      </c>
      <c r="V40" s="683">
        <f t="shared" si="4"/>
        <v>44561</v>
      </c>
      <c r="W40" s="683">
        <f t="shared" si="4"/>
        <v>44926</v>
      </c>
      <c r="X40" s="683">
        <f t="shared" si="4"/>
        <v>45291</v>
      </c>
      <c r="Y40" s="683">
        <f t="shared" si="4"/>
        <v>45657</v>
      </c>
      <c r="Z40" s="683">
        <f t="shared" si="4"/>
        <v>46022</v>
      </c>
      <c r="AA40" s="683">
        <f t="shared" si="4"/>
        <v>46387</v>
      </c>
      <c r="AB40" s="683">
        <f t="shared" si="4"/>
        <v>46752</v>
      </c>
      <c r="AC40" s="683">
        <f t="shared" si="4"/>
        <v>47118</v>
      </c>
      <c r="AD40" s="683">
        <f t="shared" si="4"/>
        <v>47483</v>
      </c>
      <c r="AE40" s="683">
        <f t="shared" si="4"/>
        <v>47848</v>
      </c>
      <c r="AF40" s="683">
        <f t="shared" si="4"/>
        <v>48213</v>
      </c>
      <c r="AG40" s="683">
        <f t="shared" si="4"/>
        <v>48579</v>
      </c>
      <c r="AH40" s="683">
        <f t="shared" si="4"/>
        <v>48944</v>
      </c>
      <c r="AI40" s="683">
        <f t="shared" si="4"/>
        <v>49309</v>
      </c>
      <c r="AJ40" s="683">
        <f t="shared" si="4"/>
        <v>49674</v>
      </c>
      <c r="AK40" s="683">
        <f t="shared" si="4"/>
        <v>50040</v>
      </c>
      <c r="AL40" s="683">
        <f t="shared" si="4"/>
        <v>50405</v>
      </c>
      <c r="AM40" s="683">
        <f t="shared" si="4"/>
        <v>50770</v>
      </c>
      <c r="AN40" s="683">
        <f t="shared" si="4"/>
        <v>51135</v>
      </c>
      <c r="AO40" s="683">
        <f t="shared" si="4"/>
        <v>51501</v>
      </c>
      <c r="AP40" s="683">
        <f t="shared" si="4"/>
        <v>51866</v>
      </c>
      <c r="AQ40" s="683">
        <f t="shared" si="4"/>
        <v>52231</v>
      </c>
      <c r="AR40" s="683">
        <f t="shared" si="4"/>
        <v>52596</v>
      </c>
      <c r="AS40" s="683">
        <f t="shared" si="4"/>
        <v>52962</v>
      </c>
      <c r="AT40" s="683">
        <f t="shared" si="4"/>
        <v>53327</v>
      </c>
      <c r="AU40" s="683">
        <f t="shared" si="4"/>
        <v>53692</v>
      </c>
      <c r="AV40" s="683">
        <f t="shared" si="4"/>
        <v>54057</v>
      </c>
      <c r="AW40" s="683">
        <f t="shared" si="4"/>
        <v>54423</v>
      </c>
      <c r="AX40" s="683">
        <f t="shared" si="4"/>
        <v>54788</v>
      </c>
      <c r="AY40" s="683">
        <f t="shared" si="4"/>
        <v>55153</v>
      </c>
      <c r="AZ40" s="683">
        <f t="shared" si="4"/>
        <v>55518</v>
      </c>
      <c r="BA40" s="683">
        <f t="shared" si="4"/>
        <v>55884</v>
      </c>
      <c r="BB40" s="683">
        <f t="shared" si="4"/>
        <v>56249</v>
      </c>
      <c r="BC40" s="683">
        <f t="shared" si="4"/>
        <v>56614</v>
      </c>
      <c r="BD40" s="683">
        <f t="shared" si="4"/>
        <v>56979</v>
      </c>
      <c r="BE40" s="683">
        <f t="shared" si="4"/>
        <v>57345</v>
      </c>
      <c r="BF40" s="683">
        <f t="shared" si="4"/>
        <v>57710</v>
      </c>
      <c r="BG40" s="683">
        <f t="shared" si="4"/>
        <v>58075</v>
      </c>
      <c r="BH40" s="683">
        <f t="shared" si="4"/>
        <v>58440</v>
      </c>
      <c r="BI40" s="683">
        <f t="shared" si="4"/>
        <v>58806</v>
      </c>
    </row>
    <row r="41" spans="1:61">
      <c r="A41" s="368" t="s">
        <v>205</v>
      </c>
      <c r="B41" s="353"/>
      <c r="C41" s="353"/>
      <c r="D41" s="353"/>
      <c r="E41" s="353"/>
      <c r="F41" s="353"/>
      <c r="G41" s="353"/>
      <c r="H41" s="353"/>
      <c r="I41" s="353"/>
      <c r="J41" s="353"/>
      <c r="K41" s="353"/>
      <c r="L41" s="353"/>
      <c r="M41" s="353"/>
      <c r="N41" s="353"/>
      <c r="O41" s="353"/>
      <c r="P41" s="353"/>
      <c r="Q41" s="353"/>
      <c r="R41" s="353"/>
      <c r="S41" s="362">
        <f>S6</f>
        <v>2392125</v>
      </c>
      <c r="T41" s="363">
        <f>S41*Indeksacja!T$61</f>
        <v>2539224.8062669719</v>
      </c>
      <c r="U41" s="354">
        <f>T41*Indeksacja!U$61</f>
        <v>2579206.6040871534</v>
      </c>
      <c r="V41" s="354">
        <f>U41*Indeksacja!V$61</f>
        <v>2839313.6005609552</v>
      </c>
      <c r="W41" s="354">
        <f>V41*Indeksacja!W$61</f>
        <v>2930152.6028305818</v>
      </c>
      <c r="X41" s="354">
        <f>W41*Indeksacja!X$61</f>
        <v>3010193.9070537165</v>
      </c>
      <c r="Y41" s="354">
        <f>X41*Indeksacja!Y$61</f>
        <v>3088028.6423461814</v>
      </c>
      <c r="Z41" s="354">
        <f>Y41*Indeksacja!Z$61</f>
        <v>3170810.1720516249</v>
      </c>
      <c r="AA41" s="354">
        <f>Z41*Indeksacja!AA$61</f>
        <v>3253741.7763212225</v>
      </c>
      <c r="AB41" s="354">
        <f>AA41*Indeksacja!AB$61</f>
        <v>3339331.651565616</v>
      </c>
      <c r="AC41" s="354">
        <f>AB41*Indeksacja!AC$61</f>
        <v>3424992.3020137572</v>
      </c>
      <c r="AD41" s="354">
        <f>AC41*Indeksacja!AD$61</f>
        <v>3510600.9549599807</v>
      </c>
      <c r="AE41" s="354">
        <f>AD41*Indeksacja!AE$61</f>
        <v>3596027.0628020954</v>
      </c>
      <c r="AF41" s="354">
        <f>AE41*Indeksacja!AF$61</f>
        <v>3684101.6059803055</v>
      </c>
      <c r="AG41" s="354">
        <f>AF41*Indeksacja!AG$61</f>
        <v>3771923.5207448588</v>
      </c>
      <c r="AH41" s="354">
        <f>AG41*Indeksacja!AH$61</f>
        <v>3862359.1010375484</v>
      </c>
      <c r="AI41" s="354">
        <f>AH41*Indeksacja!AI$61</f>
        <v>3952345.0796191157</v>
      </c>
      <c r="AJ41" s="354">
        <f>AI41*Indeksacja!AJ$61</f>
        <v>4041685.6668058382</v>
      </c>
      <c r="AK41" s="354">
        <f>AJ41*Indeksacja!AK$61</f>
        <v>4130238.1281175893</v>
      </c>
      <c r="AL41" s="354">
        <f>AK41*Indeksacja!AL$61</f>
        <v>4217807.1434449181</v>
      </c>
      <c r="AM41" s="354">
        <f>AL41*Indeksacja!AM$61</f>
        <v>4304194.3042788785</v>
      </c>
      <c r="AN41" s="354">
        <f>AM41*Indeksacja!AN$61</f>
        <v>4389193.0070023146</v>
      </c>
      <c r="AO41" s="354">
        <f>AN41*Indeksacja!AO$61</f>
        <v>4476150.5346992221</v>
      </c>
      <c r="AP41" s="354">
        <f>AO41*Indeksacja!AP$61</f>
        <v>4557856.5972919594</v>
      </c>
      <c r="AQ41" s="354">
        <f>AP41*Indeksacja!AQ$61</f>
        <v>4641277.4691845505</v>
      </c>
      <c r="AR41" s="354">
        <f>AQ41*Indeksacja!AR$61</f>
        <v>4726417.0538370218</v>
      </c>
      <c r="AS41" s="354">
        <f>AR41*Indeksacja!AS$61</f>
        <v>4809516.3012070293</v>
      </c>
      <c r="AT41" s="354">
        <f>AS41*Indeksacja!AT$61</f>
        <v>4890393.7133872537</v>
      </c>
      <c r="AU41" s="354">
        <f>AT41*Indeksacja!AU$61</f>
        <v>4968869.9852988403</v>
      </c>
      <c r="AV41" s="354">
        <f>AU41*Indeksacja!AV$61</f>
        <v>5048780.6376154888</v>
      </c>
      <c r="AW41" s="354">
        <f>AV41*Indeksacja!AW$61</f>
        <v>5130112.4097976526</v>
      </c>
      <c r="AX41" s="354">
        <f>AW41*Indeksacja!AX$61</f>
        <v>5212879.8752431152</v>
      </c>
      <c r="AY41" s="354">
        <f>AX41*Indeksacja!AY$61</f>
        <v>5292881.8925653594</v>
      </c>
      <c r="AZ41" s="354">
        <f>AY41*Indeksacja!AZ$61</f>
        <v>5373405.4644937245</v>
      </c>
      <c r="BA41" s="354">
        <f>AZ41*Indeksacja!BA$61</f>
        <v>5455154.0865493575</v>
      </c>
      <c r="BB41" s="354">
        <f>BA41*Indeksacja!BB$61</f>
        <v>5538146.3961048741</v>
      </c>
      <c r="BC41" s="354">
        <f>BB41*Indeksacja!BC$61</f>
        <v>5622401.3140736595</v>
      </c>
      <c r="BD41" s="354">
        <f>BC41*Indeksacja!BD$61</f>
        <v>5707938.0492235366</v>
      </c>
      <c r="BE41" s="354">
        <f>BD41*Indeksacja!BE$61</f>
        <v>5799365.0458427509</v>
      </c>
      <c r="BF41" s="354">
        <f>BE41*Indeksacja!BF$61</f>
        <v>5892256.4759646989</v>
      </c>
      <c r="BG41" s="354">
        <f>BF41*Indeksacja!BG$61</f>
        <v>5986635.7961783884</v>
      </c>
      <c r="BH41" s="354">
        <f>BG41*Indeksacja!BH$61</f>
        <v>6087339.8433995461</v>
      </c>
      <c r="BI41" s="354">
        <f>BH41*Indeksacja!BI$61</f>
        <v>6189737.8812812343</v>
      </c>
    </row>
    <row r="42" spans="1:61">
      <c r="A42" s="368" t="s">
        <v>206</v>
      </c>
      <c r="B42" s="353"/>
      <c r="C42" s="353"/>
      <c r="D42" s="353"/>
      <c r="E42" s="353"/>
      <c r="F42" s="353"/>
      <c r="G42" s="353"/>
      <c r="H42" s="353"/>
      <c r="I42" s="353"/>
      <c r="J42" s="353"/>
      <c r="K42" s="353"/>
      <c r="L42" s="353"/>
      <c r="M42" s="353"/>
      <c r="N42" s="353"/>
      <c r="O42" s="353"/>
      <c r="P42" s="353"/>
      <c r="Q42" s="353"/>
      <c r="R42" s="353"/>
      <c r="S42" s="362">
        <f>S7</f>
        <v>3309300</v>
      </c>
      <c r="T42" s="363">
        <f>S42*Indeksacja!T$61</f>
        <v>3512799.9796746788</v>
      </c>
      <c r="U42" s="354">
        <f>T42*Indeksacja!U$61</f>
        <v>3568111.3716488974</v>
      </c>
      <c r="V42" s="354">
        <f>U42*Indeksacja!V$61</f>
        <v>3927947.1174526294</v>
      </c>
      <c r="W42" s="354">
        <f>V42*Indeksacja!W$61</f>
        <v>4053615.0947576934</v>
      </c>
      <c r="X42" s="354">
        <f>W42*Indeksacja!X$61</f>
        <v>4164345.381872965</v>
      </c>
      <c r="Y42" s="354">
        <f>X42*Indeksacja!Y$61</f>
        <v>4272023.0699132448</v>
      </c>
      <c r="Z42" s="354">
        <f>Y42*Indeksacja!Z$61</f>
        <v>4386544.2242234182</v>
      </c>
      <c r="AA42" s="354">
        <f>Z42*Indeksacja!AA$61</f>
        <v>4501272.9938359512</v>
      </c>
      <c r="AB42" s="354">
        <f>AA42*Indeksacja!AB$61</f>
        <v>4619679.2536034267</v>
      </c>
      <c r="AC42" s="354">
        <f>AB42*Indeksacja!AC$61</f>
        <v>4738183.4248018526</v>
      </c>
      <c r="AD42" s="354">
        <f>AC42*Indeksacja!AD$61</f>
        <v>4856615.6619110908</v>
      </c>
      <c r="AE42" s="354">
        <f>AD42*Indeksacja!AE$61</f>
        <v>4974795.3635077514</v>
      </c>
      <c r="AF42" s="354">
        <f>AE42*Indeksacja!AF$61</f>
        <v>5096638.9484958481</v>
      </c>
      <c r="AG42" s="354">
        <f>AF42*Indeksacja!AG$61</f>
        <v>5218133.043716765</v>
      </c>
      <c r="AH42" s="354">
        <f>AG42*Indeksacja!AH$61</f>
        <v>5343242.9212785969</v>
      </c>
      <c r="AI42" s="354">
        <f>AH42*Indeksacja!AI$61</f>
        <v>5467730.8133912496</v>
      </c>
      <c r="AJ42" s="354">
        <f>AI42*Indeksacja!AJ$61</f>
        <v>5591325.8618009361</v>
      </c>
      <c r="AK42" s="354">
        <f>AJ42*Indeksacja!AK$61</f>
        <v>5713830.6055827113</v>
      </c>
      <c r="AL42" s="354">
        <f>AK42*Indeksacja!AL$61</f>
        <v>5834974.836098562</v>
      </c>
      <c r="AM42" s="354">
        <f>AL42*Indeksacja!AM$61</f>
        <v>5954484.0721743638</v>
      </c>
      <c r="AN42" s="354">
        <f>AM42*Indeksacja!AN$61</f>
        <v>6072072.4954058696</v>
      </c>
      <c r="AO42" s="354">
        <f>AN42*Indeksacja!AO$61</f>
        <v>6192370.7851722389</v>
      </c>
      <c r="AP42" s="354">
        <f>AO42*Indeksacja!AP$61</f>
        <v>6305404.1228691181</v>
      </c>
      <c r="AQ42" s="354">
        <f>AP42*Indeksacja!AQ$61</f>
        <v>6420809.7523216559</v>
      </c>
      <c r="AR42" s="354">
        <f>AQ42*Indeksacja!AR$61</f>
        <v>6538593.0736323828</v>
      </c>
      <c r="AS42" s="354">
        <f>AR42*Indeksacja!AS$61</f>
        <v>6653553.763112057</v>
      </c>
      <c r="AT42" s="354">
        <f>AS42*Indeksacja!AT$61</f>
        <v>6765440.733955143</v>
      </c>
      <c r="AU42" s="354">
        <f>AT42*Indeksacja!AU$61</f>
        <v>6874005.9329464231</v>
      </c>
      <c r="AV42" s="354">
        <f>AU42*Indeksacja!AV$61</f>
        <v>6984555.4743422465</v>
      </c>
      <c r="AW42" s="354">
        <f>AV42*Indeksacja!AW$61</f>
        <v>7097071.0133222053</v>
      </c>
      <c r="AX42" s="354">
        <f>AW42*Indeksacja!AX$61</f>
        <v>7211572.7109336052</v>
      </c>
      <c r="AY42" s="354">
        <f>AX42*Indeksacja!AY$61</f>
        <v>7322248.6479872726</v>
      </c>
      <c r="AZ42" s="354">
        <f>AY42*Indeksacja!AZ$61</f>
        <v>7433646.1111560194</v>
      </c>
      <c r="BA42" s="354">
        <f>AZ42*Indeksacja!BA$61</f>
        <v>7546738.3262236714</v>
      </c>
      <c r="BB42" s="354">
        <f>BA42*Indeksacja!BB$61</f>
        <v>7661551.0763985449</v>
      </c>
      <c r="BC42" s="354">
        <f>BB42*Indeksacja!BC$61</f>
        <v>7778110.5371433236</v>
      </c>
      <c r="BD42" s="354">
        <f>BC42*Indeksacja!BD$61</f>
        <v>7896443.2821426392</v>
      </c>
      <c r="BE42" s="354">
        <f>BD42*Indeksacja!BE$61</f>
        <v>8022924.6992558613</v>
      </c>
      <c r="BF42" s="354">
        <f>BE42*Indeksacja!BF$61</f>
        <v>8151432.0346595552</v>
      </c>
      <c r="BG42" s="354">
        <f>BF42*Indeksacja!BG$61</f>
        <v>8281997.7385350475</v>
      </c>
      <c r="BH42" s="354">
        <f>BG42*Indeksacja!BH$61</f>
        <v>8421313.1603750344</v>
      </c>
      <c r="BI42" s="354">
        <f>BH42*Indeksacja!BI$61</f>
        <v>8562972.0731667448</v>
      </c>
    </row>
    <row r="43" spans="1:61">
      <c r="A43" s="368" t="s">
        <v>207</v>
      </c>
      <c r="B43" s="353"/>
      <c r="C43" s="353"/>
      <c r="D43" s="353"/>
      <c r="E43" s="353"/>
      <c r="F43" s="353"/>
      <c r="G43" s="353"/>
      <c r="H43" s="353"/>
      <c r="I43" s="353"/>
      <c r="J43" s="353"/>
      <c r="K43" s="353"/>
      <c r="L43" s="353"/>
      <c r="M43" s="353"/>
      <c r="N43" s="353"/>
      <c r="O43" s="353"/>
      <c r="P43" s="353"/>
      <c r="Q43" s="353"/>
      <c r="R43" s="353"/>
      <c r="S43" s="362">
        <f>S8</f>
        <v>48165</v>
      </c>
      <c r="T43" s="363">
        <f>S43*Indeksacja!T$61</f>
        <v>51126.827734273378</v>
      </c>
      <c r="U43" s="354">
        <f>T43*Indeksacja!U$61</f>
        <v>51931.853931486759</v>
      </c>
      <c r="V43" s="354">
        <f>U43*Indeksacja!V$61</f>
        <v>57169.060802014283</v>
      </c>
      <c r="W43" s="354">
        <f>V43*Indeksacja!W$61</f>
        <v>58998.087522740236</v>
      </c>
      <c r="X43" s="354">
        <f>W43*Indeksacja!X$61</f>
        <v>60609.704565289132</v>
      </c>
      <c r="Y43" s="354">
        <f>X43*Indeksacja!Y$61</f>
        <v>62176.892745405792</v>
      </c>
      <c r="Z43" s="354">
        <f>Y43*Indeksacja!Z$61</f>
        <v>63843.683727592208</v>
      </c>
      <c r="AA43" s="354">
        <f>Z43*Indeksacja!AA$61</f>
        <v>65513.49643371968</v>
      </c>
      <c r="AB43" s="354">
        <f>AA43*Indeksacja!AB$61</f>
        <v>67236.832940443288</v>
      </c>
      <c r="AC43" s="354">
        <f>AB43*Indeksacja!AC$61</f>
        <v>68961.594492968652</v>
      </c>
      <c r="AD43" s="354">
        <f>AC43*Indeksacja!AD$61</f>
        <v>70685.30908528922</v>
      </c>
      <c r="AE43" s="354">
        <f>AD43*Indeksacja!AE$61</f>
        <v>72405.348165276868</v>
      </c>
      <c r="AF43" s="354">
        <f>AE43*Indeksacja!AF$61</f>
        <v>74178.71300707171</v>
      </c>
      <c r="AG43" s="354">
        <f>AF43*Indeksacja!AG$61</f>
        <v>75946.991221895238</v>
      </c>
      <c r="AH43" s="354">
        <f>AG43*Indeksacja!AH$61</f>
        <v>77767.895114792729</v>
      </c>
      <c r="AI43" s="354">
        <f>AH43*Indeksacja!AI$61</f>
        <v>79579.746359347759</v>
      </c>
      <c r="AJ43" s="354">
        <f>AI43*Indeksacja!AJ$61</f>
        <v>81378.60276603575</v>
      </c>
      <c r="AK43" s="354">
        <f>AJ43*Indeksacja!AK$61</f>
        <v>83161.590402167014</v>
      </c>
      <c r="AL43" s="354">
        <f>AK43*Indeksacja!AL$61</f>
        <v>84924.776533009179</v>
      </c>
      <c r="AM43" s="354">
        <f>AL43*Indeksacja!AM$61</f>
        <v>86664.166239470054</v>
      </c>
      <c r="AN43" s="354">
        <f>AM43*Indeksacja!AN$61</f>
        <v>88375.599595450316</v>
      </c>
      <c r="AO43" s="354">
        <f>AN43*Indeksacja!AO$61</f>
        <v>90126.473534530232</v>
      </c>
      <c r="AP43" s="354">
        <f>AO43*Indeksacja!AP$61</f>
        <v>91771.610182815421</v>
      </c>
      <c r="AQ43" s="354">
        <f>AP43*Indeksacja!AQ$61</f>
        <v>93451.274203176668</v>
      </c>
      <c r="AR43" s="354">
        <f>AQ43*Indeksacja!AR$61</f>
        <v>95165.544191068722</v>
      </c>
      <c r="AS43" s="354">
        <f>AR43*Indeksacja!AS$61</f>
        <v>96838.732360406197</v>
      </c>
      <c r="AT43" s="354">
        <f>AS43*Indeksacja!AT$61</f>
        <v>98467.184283972281</v>
      </c>
      <c r="AU43" s="354">
        <f>AT43*Indeksacja!AU$61</f>
        <v>100047.28968675081</v>
      </c>
      <c r="AV43" s="354">
        <f>AU43*Indeksacja!AV$61</f>
        <v>101656.27607702363</v>
      </c>
      <c r="AW43" s="354">
        <f>AV43*Indeksacja!AW$61</f>
        <v>103293.87645624876</v>
      </c>
      <c r="AX43" s="354">
        <f>AW43*Indeksacja!AX$61</f>
        <v>104960.38425712903</v>
      </c>
      <c r="AY43" s="354">
        <f>AX43*Indeksacja!AY$61</f>
        <v>106571.21026510349</v>
      </c>
      <c r="AZ43" s="354">
        <f>AY43*Indeksacja!AZ$61</f>
        <v>108192.53767982041</v>
      </c>
      <c r="BA43" s="354">
        <f>AZ43*Indeksacja!BA$61</f>
        <v>109838.53125511835</v>
      </c>
      <c r="BB43" s="354">
        <f>BA43*Indeksacja!BB$61</f>
        <v>111509.56625109115</v>
      </c>
      <c r="BC43" s="354">
        <f>BB43*Indeksacja!BC$61</f>
        <v>113206.02363687432</v>
      </c>
      <c r="BD43" s="354">
        <f>BC43*Indeksacja!BD$61</f>
        <v>114928.29017749985</v>
      </c>
      <c r="BE43" s="354">
        <f>BD43*Indeksacja!BE$61</f>
        <v>116769.15605706903</v>
      </c>
      <c r="BF43" s="354">
        <f>BE43*Indeksacja!BF$61</f>
        <v>118639.50803776554</v>
      </c>
      <c r="BG43" s="354">
        <f>BF43*Indeksacja!BG$61</f>
        <v>120539.81841372512</v>
      </c>
      <c r="BH43" s="354">
        <f>BG43*Indeksacja!BH$61</f>
        <v>122567.476012892</v>
      </c>
      <c r="BI43" s="354">
        <f>BH43*Indeksacja!BI$61</f>
        <v>124629.24180463428</v>
      </c>
    </row>
    <row r="44" spans="1:61">
      <c r="A44" s="368" t="s">
        <v>208</v>
      </c>
      <c r="B44" s="353"/>
      <c r="C44" s="353"/>
      <c r="D44" s="353"/>
      <c r="E44" s="353"/>
      <c r="F44" s="353"/>
      <c r="G44" s="353"/>
      <c r="H44" s="353"/>
      <c r="I44" s="353"/>
      <c r="J44" s="353"/>
      <c r="K44" s="353"/>
      <c r="L44" s="353"/>
      <c r="M44" s="353"/>
      <c r="N44" s="353"/>
      <c r="O44" s="353"/>
      <c r="P44" s="353"/>
      <c r="Q44" s="353"/>
      <c r="R44" s="353"/>
      <c r="S44" s="362">
        <f>S42*$S$35+S43*$S$36</f>
        <v>1005145.192323135</v>
      </c>
      <c r="T44" s="363">
        <f>S44*Indeksacja!T$61</f>
        <v>1066954.9485277277</v>
      </c>
      <c r="U44" s="354">
        <f>T44*Indeksacja!U$61</f>
        <v>1083754.8698777372</v>
      </c>
      <c r="V44" s="354">
        <f>U44*Indeksacja!V$61</f>
        <v>1193049.0317611056</v>
      </c>
      <c r="W44" s="354">
        <f>V44*Indeksacja!W$61</f>
        <v>1231218.6033373175</v>
      </c>
      <c r="X44" s="354">
        <f>W44*Indeksacja!X$61</f>
        <v>1264851.0983478865</v>
      </c>
      <c r="Y44" s="354">
        <f>X44*Indeksacja!Y$61</f>
        <v>1297556.4168303926</v>
      </c>
      <c r="Z44" s="354">
        <f>Y44*Indeksacja!Z$61</f>
        <v>1332340.3251113482</v>
      </c>
      <c r="AA44" s="354">
        <f>Z44*Indeksacja!AA$61</f>
        <v>1367187.2931097725</v>
      </c>
      <c r="AB44" s="354">
        <f>AA44*Indeksacja!AB$61</f>
        <v>1403151.2379761315</v>
      </c>
      <c r="AC44" s="354">
        <f>AB44*Indeksacja!AC$61</f>
        <v>1439144.9218217591</v>
      </c>
      <c r="AD44" s="354">
        <f>AC44*Indeksacja!AD$61</f>
        <v>1475116.7568764307</v>
      </c>
      <c r="AE44" s="354">
        <f>AD44*Indeksacja!AE$61</f>
        <v>1511011.8884420383</v>
      </c>
      <c r="AF44" s="354">
        <f>AE44*Indeksacja!AF$61</f>
        <v>1548019.8640460032</v>
      </c>
      <c r="AG44" s="354">
        <f>AF44*Indeksacja!AG$61</f>
        <v>1584921.6879081354</v>
      </c>
      <c r="AH44" s="354">
        <f>AG44*Indeksacja!AH$61</f>
        <v>1622921.7459093477</v>
      </c>
      <c r="AI44" s="354">
        <f>AH44*Indeksacja!AI$61</f>
        <v>1660732.8861080224</v>
      </c>
      <c r="AJ44" s="354">
        <f>AI44*Indeksacja!AJ$61</f>
        <v>1698272.8397852175</v>
      </c>
      <c r="AK44" s="354">
        <f>AJ44*Indeksacja!AK$61</f>
        <v>1735481.6314478135</v>
      </c>
      <c r="AL44" s="354">
        <f>AK44*Indeksacja!AL$61</f>
        <v>1772277.1896869254</v>
      </c>
      <c r="AM44" s="354">
        <f>AL44*Indeksacja!AM$61</f>
        <v>1808576.1453814234</v>
      </c>
      <c r="AN44" s="354">
        <f>AM44*Indeksacja!AN$61</f>
        <v>1844291.6859138643</v>
      </c>
      <c r="AO44" s="354">
        <f>AN44*Indeksacja!AO$61</f>
        <v>1880830.303628596</v>
      </c>
      <c r="AP44" s="354">
        <f>AO44*Indeksacja!AP$61</f>
        <v>1915162.3121978571</v>
      </c>
      <c r="AQ44" s="354">
        <f>AP44*Indeksacja!AQ$61</f>
        <v>1950214.8651882913</v>
      </c>
      <c r="AR44" s="354">
        <f>AQ44*Indeksacja!AR$61</f>
        <v>1985989.6027918111</v>
      </c>
      <c r="AS44" s="354">
        <f>AR44*Indeksacja!AS$61</f>
        <v>2020907.0126176497</v>
      </c>
      <c r="AT44" s="354">
        <f>AS44*Indeksacja!AT$61</f>
        <v>2054890.8311975689</v>
      </c>
      <c r="AU44" s="354">
        <f>AT44*Indeksacja!AU$61</f>
        <v>2087865.7164662629</v>
      </c>
      <c r="AV44" s="354">
        <f>AU44*Indeksacja!AV$61</f>
        <v>2121443.3129511811</v>
      </c>
      <c r="AW44" s="354">
        <f>AV44*Indeksacja!AW$61</f>
        <v>2155618.0487162531</v>
      </c>
      <c r="AX44" s="354">
        <f>AW44*Indeksacja!AX$61</f>
        <v>2190396.0473464578</v>
      </c>
      <c r="AY44" s="354">
        <f>AX44*Indeksacja!AY$61</f>
        <v>2224012.0344238915</v>
      </c>
      <c r="AZ44" s="354">
        <f>AY44*Indeksacja!AZ$61</f>
        <v>2257847.173136326</v>
      </c>
      <c r="BA44" s="354">
        <f>AZ44*Indeksacja!BA$61</f>
        <v>2292197.0647340729</v>
      </c>
      <c r="BB44" s="354">
        <f>BA44*Indeksacja!BB$61</f>
        <v>2327069.5404406185</v>
      </c>
      <c r="BC44" s="354">
        <f>BB44*Indeksacja!BC$61</f>
        <v>2362472.5506202308</v>
      </c>
      <c r="BD44" s="354">
        <f>BC44*Indeksacja!BD$61</f>
        <v>2398414.1665905151</v>
      </c>
      <c r="BE44" s="354">
        <f>BD44*Indeksacja!BE$61</f>
        <v>2436830.8070672238</v>
      </c>
      <c r="BF44" s="354">
        <f>BE44*Indeksacja!BF$61</f>
        <v>2475862.7867485099</v>
      </c>
      <c r="BG44" s="354">
        <f>BF44*Indeksacja!BG$61</f>
        <v>2515519.961840746</v>
      </c>
      <c r="BH44" s="354">
        <f>BG44*Indeksacja!BH$61</f>
        <v>2557834.7191848769</v>
      </c>
      <c r="BI44" s="354">
        <f>BH44*Indeksacja!BI$61</f>
        <v>2600861.2731818883</v>
      </c>
    </row>
    <row r="45" spans="1:61">
      <c r="A45" s="368" t="s">
        <v>840</v>
      </c>
      <c r="B45" s="353"/>
      <c r="C45" s="353"/>
      <c r="D45" s="353"/>
      <c r="E45" s="353"/>
      <c r="F45" s="353"/>
      <c r="G45" s="353"/>
      <c r="H45" s="353"/>
      <c r="I45" s="353"/>
      <c r="J45" s="353"/>
      <c r="K45" s="353"/>
      <c r="L45" s="353"/>
      <c r="M45" s="353"/>
      <c r="N45" s="353"/>
      <c r="O45" s="353"/>
      <c r="P45" s="353"/>
      <c r="Q45" s="353"/>
      <c r="R45" s="353"/>
      <c r="S45" s="362">
        <f>S9</f>
        <v>15385</v>
      </c>
      <c r="T45" s="363">
        <f>S45*Indeksacja!T$61</f>
        <v>16331.075359530696</v>
      </c>
      <c r="U45" s="354">
        <f>T45*Indeksacja!U$61</f>
        <v>16588.219095524215</v>
      </c>
      <c r="V45" s="354">
        <f>U45*Indeksacja!V$61</f>
        <v>18261.102469407033</v>
      </c>
      <c r="W45" s="354">
        <f>V45*Indeksacja!W$61</f>
        <v>18845.335337638506</v>
      </c>
      <c r="X45" s="354">
        <f>W45*Indeksacja!X$61</f>
        <v>19360.122593936954</v>
      </c>
      <c r="Y45" s="354">
        <f>X45*Indeksacja!Y$61</f>
        <v>19860.718257823486</v>
      </c>
      <c r="Z45" s="354">
        <f>Y45*Indeksacja!Z$61</f>
        <v>20393.129329367926</v>
      </c>
      <c r="AA45" s="354">
        <f>Z45*Indeksacja!AA$61</f>
        <v>20926.505608487019</v>
      </c>
      <c r="AB45" s="354">
        <f>AA45*Indeksacja!AB$61</f>
        <v>21476.978610790407</v>
      </c>
      <c r="AC45" s="354">
        <f>AB45*Indeksacja!AC$61</f>
        <v>22027.906805238712</v>
      </c>
      <c r="AD45" s="354">
        <f>AC45*Indeksacja!AD$61</f>
        <v>22578.500576708699</v>
      </c>
      <c r="AE45" s="354">
        <f>AD45*Indeksacja!AE$61</f>
        <v>23127.920305673924</v>
      </c>
      <c r="AF45" s="354">
        <f>AE45*Indeksacja!AF$61</f>
        <v>23694.373499715522</v>
      </c>
      <c r="AG45" s="354">
        <f>AF45*Indeksacja!AG$61</f>
        <v>24259.201909038886</v>
      </c>
      <c r="AH45" s="354">
        <f>AG45*Indeksacja!AH$61</f>
        <v>24840.840160720145</v>
      </c>
      <c r="AI45" s="354">
        <f>AH45*Indeksacja!AI$61</f>
        <v>25419.586789962937</v>
      </c>
      <c r="AJ45" s="354">
        <f>AI45*Indeksacja!AJ$61</f>
        <v>25994.182571482601</v>
      </c>
      <c r="AK45" s="354">
        <f>AJ45*Indeksacja!AK$61</f>
        <v>26563.709505602386</v>
      </c>
      <c r="AL45" s="354">
        <f>AK45*Indeksacja!AL$61</f>
        <v>27126.911387113996</v>
      </c>
      <c r="AM45" s="354">
        <f>AL45*Indeksacja!AM$61</f>
        <v>27682.512147705726</v>
      </c>
      <c r="AN45" s="354">
        <f>AM45*Indeksacja!AN$61</f>
        <v>28229.183012062756</v>
      </c>
      <c r="AO45" s="354">
        <f>AN45*Indeksacja!AO$61</f>
        <v>28788.45209859332</v>
      </c>
      <c r="AP45" s="354">
        <f>AO45*Indeksacja!AP$61</f>
        <v>29313.946281794142</v>
      </c>
      <c r="AQ45" s="354">
        <f>AP45*Indeksacja!AQ$61</f>
        <v>29850.469295460869</v>
      </c>
      <c r="AR45" s="354">
        <f>AQ45*Indeksacja!AR$61</f>
        <v>30398.046244775083</v>
      </c>
      <c r="AS45" s="354">
        <f>AR45*Indeksacja!AS$61</f>
        <v>30932.500723862744</v>
      </c>
      <c r="AT45" s="354">
        <f>AS45*Indeksacja!AT$61</f>
        <v>31452.665425286272</v>
      </c>
      <c r="AU45" s="354">
        <f>AT45*Indeksacja!AU$61</f>
        <v>31957.387144828423</v>
      </c>
      <c r="AV45" s="354">
        <f>AU45*Indeksacja!AV$61</f>
        <v>32471.334110765252</v>
      </c>
      <c r="AW45" s="354">
        <f>AV45*Indeksacja!AW$61</f>
        <v>32994.421037670239</v>
      </c>
      <c r="AX45" s="354">
        <f>AW45*Indeksacja!AX$61</f>
        <v>33526.741654644036</v>
      </c>
      <c r="AY45" s="354">
        <f>AX45*Indeksacja!AY$61</f>
        <v>34041.27623645006</v>
      </c>
      <c r="AZ45" s="354">
        <f>AY45*Indeksacja!AZ$61</f>
        <v>34559.165207184407</v>
      </c>
      <c r="BA45" s="354">
        <f>AZ45*Indeksacja!BA$61</f>
        <v>35084.933112425948</v>
      </c>
      <c r="BB45" s="354">
        <f>BA45*Indeksacja!BB$61</f>
        <v>35618.699818811117</v>
      </c>
      <c r="BC45" s="354">
        <f>BB45*Indeksacja!BC$61</f>
        <v>36160.587016574515</v>
      </c>
      <c r="BD45" s="354">
        <f>BC45*Indeksacja!BD$61</f>
        <v>36710.71824729233</v>
      </c>
      <c r="BE45" s="354">
        <f>BD45*Indeksacja!BE$61</f>
        <v>37298.732812997136</v>
      </c>
      <c r="BF45" s="354">
        <f>BE45*Indeksacja!BF$61</f>
        <v>37896.165912198121</v>
      </c>
      <c r="BG45" s="354">
        <f>BF45*Indeksacja!BG$61</f>
        <v>38503.168406418787</v>
      </c>
      <c r="BH45" s="354">
        <f>BG45*Indeksacja!BH$61</f>
        <v>39150.848509464202</v>
      </c>
      <c r="BI45" s="354">
        <f>BH45*Indeksacja!BI$61</f>
        <v>39809.423547478422</v>
      </c>
    </row>
    <row r="46" spans="1:61">
      <c r="A46" s="384" t="s">
        <v>842</v>
      </c>
      <c r="B46" s="81"/>
      <c r="C46" s="81"/>
      <c r="D46" s="81"/>
      <c r="E46" s="81"/>
      <c r="F46" s="81"/>
      <c r="G46" s="81"/>
      <c r="H46" s="81"/>
      <c r="I46" s="81"/>
      <c r="J46" s="81"/>
      <c r="K46" s="81"/>
      <c r="L46" s="81"/>
      <c r="M46" s="81"/>
      <c r="N46" s="81"/>
      <c r="O46" s="81"/>
      <c r="P46" s="81"/>
      <c r="Q46" s="81"/>
      <c r="R46" s="81"/>
      <c r="S46" s="81"/>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row>
    <row r="47" spans="1:61">
      <c r="A47" s="385" t="s">
        <v>841</v>
      </c>
      <c r="B47" s="163"/>
      <c r="C47" s="163"/>
      <c r="D47" s="163"/>
      <c r="E47" s="163"/>
      <c r="F47" s="163"/>
      <c r="G47" s="163"/>
      <c r="H47" s="163"/>
      <c r="I47" s="163"/>
      <c r="J47" s="163"/>
      <c r="K47" s="163"/>
      <c r="L47" s="163"/>
      <c r="M47" s="163"/>
      <c r="N47" s="163"/>
      <c r="O47" s="163"/>
      <c r="P47" s="163"/>
      <c r="Q47" s="163"/>
      <c r="R47" s="163"/>
      <c r="S47" s="165"/>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row>
    <row r="48" spans="1:61"/>
  </sheetData>
  <mergeCells count="5">
    <mergeCell ref="A39:A40"/>
    <mergeCell ref="A12:V13"/>
    <mergeCell ref="A14:V17"/>
    <mergeCell ref="A18:V19"/>
    <mergeCell ref="A28:V2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workbookViewId="0">
      <pane xSplit="1" ySplit="2" topLeftCell="B3" activePane="bottomRight" state="frozen"/>
      <selection pane="topRight" activeCell="B1" sqref="B1"/>
      <selection pane="bottomLeft" activeCell="A3" sqref="A3"/>
      <selection pane="bottomRight" activeCell="B42" sqref="B42"/>
    </sheetView>
  </sheetViews>
  <sheetFormatPr defaultColWidth="0" defaultRowHeight="15" zeroHeight="1" outlineLevelRow="1"/>
  <cols>
    <col min="1" max="1" width="36" customWidth="1"/>
    <col min="2" max="17" width="20.140625" customWidth="1"/>
    <col min="18" max="18" width="9.140625" customWidth="1"/>
    <col min="19" max="16384" width="9.140625" hidden="1"/>
  </cols>
  <sheetData>
    <row r="1" spans="1:17" ht="21">
      <c r="A1" s="4" t="s">
        <v>337</v>
      </c>
      <c r="B1" s="103"/>
      <c r="C1" s="5"/>
      <c r="D1" s="103"/>
      <c r="E1" s="5"/>
      <c r="F1" s="5"/>
      <c r="G1" s="5"/>
      <c r="H1" s="5"/>
      <c r="I1" s="5"/>
      <c r="J1" s="5"/>
      <c r="K1" s="5"/>
      <c r="L1" s="5"/>
      <c r="M1" s="5"/>
      <c r="N1" s="5"/>
      <c r="O1" s="5"/>
      <c r="P1" s="5"/>
      <c r="Q1" s="5"/>
    </row>
    <row r="2" spans="1:17">
      <c r="A2" s="490" t="str">
        <f>Indeksacja!$A$2</f>
        <v>Dla roku bazowego 2022 właściwe do zastosowania w analizie są wartości kosztów jednostkowych określone według poziomu cenowego z końca roku poprzedniego, tzn. 2021.</v>
      </c>
      <c r="B2" s="505"/>
      <c r="C2" s="505"/>
      <c r="D2" s="505"/>
      <c r="E2" s="505"/>
      <c r="F2" s="505"/>
      <c r="G2" s="505"/>
      <c r="H2" s="505"/>
      <c r="I2" s="505"/>
      <c r="J2" s="505"/>
      <c r="K2" s="505"/>
    </row>
    <row r="3" spans="1:17" hidden="1" outlineLevel="1"/>
    <row r="4" spans="1:17" hidden="1" outlineLevel="1">
      <c r="A4" s="506" t="s">
        <v>316</v>
      </c>
    </row>
    <row r="5" spans="1:17" ht="15" hidden="1" customHeight="1" outlineLevel="1">
      <c r="A5" s="854" t="s">
        <v>286</v>
      </c>
      <c r="B5" s="846" t="s">
        <v>308</v>
      </c>
      <c r="C5" s="847"/>
      <c r="D5" s="847"/>
      <c r="E5" s="847"/>
      <c r="F5" s="847"/>
      <c r="G5" s="847"/>
      <c r="H5" s="847"/>
      <c r="I5" s="847"/>
      <c r="J5" s="848"/>
      <c r="K5" s="843" t="s">
        <v>309</v>
      </c>
      <c r="L5" s="852"/>
      <c r="M5" s="852"/>
      <c r="N5" s="852"/>
      <c r="O5" s="852"/>
      <c r="P5" s="852"/>
      <c r="Q5" s="844"/>
    </row>
    <row r="6" spans="1:17" hidden="1" outlineLevel="1">
      <c r="A6" s="855"/>
      <c r="B6" s="845" t="s">
        <v>83</v>
      </c>
      <c r="C6" s="845"/>
      <c r="D6" s="845"/>
      <c r="E6" s="845"/>
      <c r="F6" s="845" t="s">
        <v>287</v>
      </c>
      <c r="G6" s="845"/>
      <c r="H6" s="846" t="s">
        <v>301</v>
      </c>
      <c r="I6" s="849"/>
      <c r="J6" s="850"/>
      <c r="K6" s="851" t="s">
        <v>83</v>
      </c>
      <c r="L6" s="851"/>
      <c r="M6" s="851"/>
      <c r="N6" s="843" t="s">
        <v>305</v>
      </c>
      <c r="O6" s="844"/>
      <c r="P6" s="515" t="s">
        <v>306</v>
      </c>
      <c r="Q6" s="515" t="s">
        <v>307</v>
      </c>
    </row>
    <row r="7" spans="1:17" ht="30" hidden="1" outlineLevel="1">
      <c r="A7" s="855"/>
      <c r="B7" s="508" t="s">
        <v>89</v>
      </c>
      <c r="C7" s="508" t="s">
        <v>288</v>
      </c>
      <c r="D7" s="515" t="s">
        <v>194</v>
      </c>
      <c r="E7" s="508" t="s">
        <v>289</v>
      </c>
      <c r="F7" s="515" t="s">
        <v>51</v>
      </c>
      <c r="G7" s="515" t="s">
        <v>297</v>
      </c>
      <c r="H7" s="515" t="s">
        <v>298</v>
      </c>
      <c r="I7" s="515" t="s">
        <v>299</v>
      </c>
      <c r="J7" s="515" t="s">
        <v>300</v>
      </c>
      <c r="K7" s="515" t="s">
        <v>302</v>
      </c>
      <c r="L7" s="515" t="s">
        <v>313</v>
      </c>
      <c r="M7" s="515" t="s">
        <v>303</v>
      </c>
      <c r="N7" s="515" t="s">
        <v>52</v>
      </c>
      <c r="O7" s="515" t="s">
        <v>304</v>
      </c>
      <c r="P7" s="509" t="s">
        <v>290</v>
      </c>
      <c r="Q7" s="509" t="s">
        <v>290</v>
      </c>
    </row>
    <row r="8" spans="1:17" hidden="1" outlineLevel="1">
      <c r="A8" s="856"/>
      <c r="B8" s="514" t="s">
        <v>296</v>
      </c>
      <c r="C8" s="514" t="s">
        <v>296</v>
      </c>
      <c r="D8" s="514" t="s">
        <v>296</v>
      </c>
      <c r="E8" s="514" t="s">
        <v>296</v>
      </c>
      <c r="F8" s="514" t="s">
        <v>296</v>
      </c>
      <c r="G8" s="514" t="s">
        <v>296</v>
      </c>
      <c r="H8" s="514" t="s">
        <v>296</v>
      </c>
      <c r="I8" s="514" t="s">
        <v>296</v>
      </c>
      <c r="J8" s="514" t="s">
        <v>296</v>
      </c>
      <c r="K8" s="514" t="s">
        <v>310</v>
      </c>
      <c r="L8" s="514" t="s">
        <v>310</v>
      </c>
      <c r="M8" s="514" t="s">
        <v>311</v>
      </c>
      <c r="N8" s="514" t="s">
        <v>311</v>
      </c>
      <c r="O8" s="514" t="s">
        <v>311</v>
      </c>
      <c r="P8" s="514" t="s">
        <v>311</v>
      </c>
      <c r="Q8" s="514" t="s">
        <v>311</v>
      </c>
    </row>
    <row r="9" spans="1:17" hidden="1" outlineLevel="1">
      <c r="A9" s="507" t="s">
        <v>199</v>
      </c>
      <c r="B9" s="520">
        <v>4.9419822166640834</v>
      </c>
      <c r="C9" s="521">
        <v>0.91129571221427275</v>
      </c>
      <c r="D9" s="521">
        <v>0.91129571221427275</v>
      </c>
      <c r="E9" s="521">
        <v>14.47269999543076</v>
      </c>
      <c r="F9" s="521">
        <v>2.1410502010970887</v>
      </c>
      <c r="G9" s="521">
        <v>2.1410502010970887</v>
      </c>
      <c r="H9" s="521">
        <v>4.0730766818275831E-2</v>
      </c>
      <c r="I9" s="521">
        <v>1.021760001493933E-2</v>
      </c>
      <c r="J9" s="521">
        <v>1.2479100878744587E-3</v>
      </c>
      <c r="K9" s="521">
        <v>7.932595648434862E-2</v>
      </c>
      <c r="L9" s="521">
        <v>7.932595648434862E-2</v>
      </c>
      <c r="M9" s="521">
        <v>0.89371661550491233</v>
      </c>
      <c r="N9" s="521">
        <v>0.15113454904459742</v>
      </c>
      <c r="O9" s="521">
        <v>0.15113454904459742</v>
      </c>
      <c r="P9" s="521">
        <v>0.11535738857750023</v>
      </c>
      <c r="Q9" s="520">
        <f>P9*$A$19</f>
        <v>4.8450103202550096E-2</v>
      </c>
    </row>
    <row r="10" spans="1:17" hidden="1" outlineLevel="1">
      <c r="A10" s="507" t="s">
        <v>291</v>
      </c>
      <c r="B10" s="521">
        <v>0.6948296174621873</v>
      </c>
      <c r="C10" s="521">
        <v>0.70325056873360614</v>
      </c>
      <c r="D10" s="521">
        <v>0.67185670812936982</v>
      </c>
      <c r="E10" s="521">
        <v>0.58383306123067225</v>
      </c>
      <c r="F10" s="521">
        <v>2.2762887491827293E-3</v>
      </c>
      <c r="G10" s="521">
        <v>0.51840382713146216</v>
      </c>
      <c r="H10" s="521">
        <v>0.29624625848464697</v>
      </c>
      <c r="I10" s="521">
        <v>0.12744987874161517</v>
      </c>
      <c r="J10" s="521">
        <v>5.6342421124195824E-2</v>
      </c>
      <c r="K10" s="521">
        <v>1.095954560884822</v>
      </c>
      <c r="L10" s="521">
        <v>2.9752619988899052</v>
      </c>
      <c r="M10" s="521">
        <v>0.51379741859586103</v>
      </c>
      <c r="N10" s="521">
        <v>6.8372435423247064E-4</v>
      </c>
      <c r="O10" s="521">
        <v>0.73001691039391259</v>
      </c>
      <c r="P10" s="521">
        <v>0.66213948180495119</v>
      </c>
      <c r="Q10" s="520">
        <f t="shared" ref="Q10:Q14" si="0">P10*$A$19</f>
        <v>0.27809858235807949</v>
      </c>
    </row>
    <row r="11" spans="1:17" hidden="1" outlineLevel="1">
      <c r="A11" s="513" t="s">
        <v>295</v>
      </c>
      <c r="B11" s="521">
        <v>1.074564833882901</v>
      </c>
      <c r="C11" s="521">
        <v>0.50112560640457515</v>
      </c>
      <c r="D11" s="521">
        <v>0.47881482559613525</v>
      </c>
      <c r="E11" s="521">
        <v>0.92913133495158962</v>
      </c>
      <c r="F11" s="521">
        <v>0</v>
      </c>
      <c r="G11" s="521">
        <v>0.20736850703369594</v>
      </c>
      <c r="H11" s="521">
        <v>2.3862381184328489</v>
      </c>
      <c r="I11" s="521">
        <v>1.845148152089197</v>
      </c>
      <c r="J11" s="521">
        <v>2.2392096028822412</v>
      </c>
      <c r="K11" s="521">
        <v>2.5726314931590144</v>
      </c>
      <c r="L11" s="521">
        <v>3.0881555087856718</v>
      </c>
      <c r="M11" s="521">
        <v>0.40664724516556633</v>
      </c>
      <c r="N11" s="521">
        <v>0</v>
      </c>
      <c r="O11" s="521">
        <v>0.24718297545859325</v>
      </c>
      <c r="P11" s="521">
        <v>0.26534732008404416</v>
      </c>
      <c r="Q11" s="520">
        <f t="shared" si="0"/>
        <v>0.11144587443529855</v>
      </c>
    </row>
    <row r="12" spans="1:17" hidden="1" outlineLevel="1">
      <c r="A12" s="507" t="s">
        <v>292</v>
      </c>
      <c r="B12" s="521">
        <v>0.56918181438634607</v>
      </c>
      <c r="C12" s="521">
        <v>0.37761345249124445</v>
      </c>
      <c r="D12" s="521">
        <v>0.26718686788399409</v>
      </c>
      <c r="E12" s="521">
        <v>6.5602490563912657</v>
      </c>
      <c r="F12" s="521">
        <v>0.29181552346534906</v>
      </c>
      <c r="G12" s="521">
        <v>0.4377898715204494</v>
      </c>
      <c r="H12" s="521">
        <v>0.4561956149202997</v>
      </c>
      <c r="I12" s="521">
        <v>0.11443988625653438</v>
      </c>
      <c r="J12" s="521">
        <v>1.3976930816035949E-2</v>
      </c>
      <c r="K12" s="521">
        <v>1.3154764476764522</v>
      </c>
      <c r="L12" s="521">
        <v>1.3154764476764522</v>
      </c>
      <c r="M12" s="521">
        <v>0.49696367470730402</v>
      </c>
      <c r="N12" s="521">
        <v>0.17710776924607807</v>
      </c>
      <c r="O12" s="521">
        <v>0.32685423148583637</v>
      </c>
      <c r="P12" s="521">
        <v>0</v>
      </c>
      <c r="Q12" s="520">
        <f t="shared" si="0"/>
        <v>0</v>
      </c>
    </row>
    <row r="13" spans="1:17" hidden="1" outlineLevel="1">
      <c r="A13" s="513" t="s">
        <v>294</v>
      </c>
      <c r="B13" s="521">
        <v>4.50319525944058</v>
      </c>
      <c r="C13" s="521">
        <v>0.95146081667004812</v>
      </c>
      <c r="D13" s="521">
        <v>0.95146081667004812</v>
      </c>
      <c r="E13" s="521">
        <v>0</v>
      </c>
      <c r="F13" s="521">
        <v>0</v>
      </c>
      <c r="G13" s="521">
        <v>0</v>
      </c>
      <c r="H13" s="521">
        <v>0</v>
      </c>
      <c r="I13" s="521">
        <v>0</v>
      </c>
      <c r="J13" s="521">
        <v>0</v>
      </c>
      <c r="K13" s="521">
        <v>12.188190327182532</v>
      </c>
      <c r="L13" s="521">
        <v>12.188190327182532</v>
      </c>
      <c r="M13" s="521">
        <v>0.94483132190982111</v>
      </c>
      <c r="N13" s="521">
        <v>0</v>
      </c>
      <c r="O13" s="521">
        <v>0</v>
      </c>
      <c r="P13" s="521">
        <v>0</v>
      </c>
      <c r="Q13" s="520">
        <f t="shared" si="0"/>
        <v>0</v>
      </c>
    </row>
    <row r="14" spans="1:17" ht="27.75" hidden="1" outlineLevel="1">
      <c r="A14" s="516" t="s">
        <v>844</v>
      </c>
      <c r="B14" s="521">
        <v>0.30823030857525413</v>
      </c>
      <c r="C14" s="521">
        <v>0.14690254386575113</v>
      </c>
      <c r="D14" s="521">
        <v>0.12918751929667222</v>
      </c>
      <c r="E14" s="521">
        <v>0.40992942802594101</v>
      </c>
      <c r="F14" s="521">
        <v>2.007187142762008</v>
      </c>
      <c r="G14" s="521">
        <v>5.6126515900388606E-2</v>
      </c>
      <c r="H14" s="521">
        <v>1.0581206512020671</v>
      </c>
      <c r="I14" s="521">
        <v>0.70471158791067645</v>
      </c>
      <c r="J14" s="521">
        <v>0.90828714303759472</v>
      </c>
      <c r="K14" s="521">
        <v>0.76176908710897995</v>
      </c>
      <c r="L14" s="521">
        <v>0.69520291274240953</v>
      </c>
      <c r="M14" s="521">
        <v>0.14832114604146268</v>
      </c>
      <c r="N14" s="521">
        <v>0.21334009996827469</v>
      </c>
      <c r="O14" s="521">
        <v>6.7610382086649684E-2</v>
      </c>
      <c r="P14" s="521">
        <v>9.0830883907448617E-2</v>
      </c>
      <c r="Q14" s="520">
        <f t="shared" si="0"/>
        <v>3.814897124112842E-2</v>
      </c>
    </row>
    <row r="15" spans="1:17" hidden="1" outlineLevel="1">
      <c r="A15" t="s">
        <v>845</v>
      </c>
    </row>
    <row r="16" spans="1:17" hidden="1" outlineLevel="1">
      <c r="A16" s="517" t="s">
        <v>846</v>
      </c>
    </row>
    <row r="17" spans="1:15" hidden="1" outlineLevel="1"/>
    <row r="18" spans="1:15" hidden="1" outlineLevel="1">
      <c r="A18" s="507" t="s">
        <v>293</v>
      </c>
    </row>
    <row r="19" spans="1:15" hidden="1" outlineLevel="1">
      <c r="A19" s="511">
        <v>0.42</v>
      </c>
    </row>
    <row r="20" spans="1:15" hidden="1" outlineLevel="1">
      <c r="A20" s="510" t="s">
        <v>847</v>
      </c>
    </row>
    <row r="21" spans="1:15" hidden="1" outlineLevel="1"/>
    <row r="22" spans="1:15" hidden="1" outlineLevel="1">
      <c r="A22" s="490" t="s">
        <v>143</v>
      </c>
      <c r="B22" s="164">
        <f>1/100</f>
        <v>0.01</v>
      </c>
      <c r="C22" s="490"/>
      <c r="D22" s="490"/>
      <c r="E22" s="490"/>
      <c r="F22" s="490"/>
      <c r="G22" s="490"/>
      <c r="H22" s="490"/>
      <c r="I22" s="490"/>
      <c r="J22" s="490"/>
      <c r="K22" s="490"/>
      <c r="L22" s="490"/>
      <c r="M22" s="490"/>
      <c r="N22" s="490"/>
      <c r="O22" s="490"/>
    </row>
    <row r="23" spans="1:15" hidden="1" outlineLevel="1">
      <c r="A23" s="490"/>
      <c r="B23" s="490"/>
      <c r="C23" s="490"/>
      <c r="D23" s="490"/>
      <c r="E23" s="490"/>
      <c r="F23" s="490"/>
      <c r="G23" s="490"/>
      <c r="H23" s="490"/>
      <c r="I23" s="490"/>
      <c r="J23" s="490"/>
      <c r="K23" s="490"/>
      <c r="L23" s="490"/>
      <c r="M23" s="490"/>
      <c r="N23" s="490"/>
      <c r="O23" s="490"/>
    </row>
    <row r="24" spans="1:15" hidden="1" outlineLevel="1">
      <c r="A24" s="9" t="s">
        <v>2</v>
      </c>
      <c r="B24" s="6">
        <v>2016</v>
      </c>
    </row>
    <row r="25" spans="1:15" hidden="1" outlineLevel="1">
      <c r="A25" s="8" t="s">
        <v>3</v>
      </c>
      <c r="B25" s="11">
        <f>Indeksacja!$Q$41</f>
        <v>4.3632</v>
      </c>
    </row>
    <row r="26" spans="1:15" hidden="1" outlineLevel="1">
      <c r="A26" s="35" t="str">
        <f>Indeksacja!$A$42</f>
        <v>Źródło: ECB, http://sdw.ecb.europa.eu/quickview.do?SERIES_KEY=120.EXR.A.PLN.EUR.SP00.A</v>
      </c>
      <c r="B26" s="490"/>
      <c r="O26" s="490"/>
    </row>
    <row r="27" spans="1:15" hidden="1" outlineLevel="1">
      <c r="A27" s="490"/>
      <c r="B27" s="490"/>
      <c r="O27" s="490"/>
    </row>
    <row r="28" spans="1:15" ht="30" hidden="1" outlineLevel="1">
      <c r="A28" s="150" t="s">
        <v>589</v>
      </c>
      <c r="B28" s="6">
        <v>2016</v>
      </c>
    </row>
    <row r="29" spans="1:15" hidden="1" outlineLevel="1">
      <c r="A29" s="8" t="s">
        <v>80</v>
      </c>
      <c r="B29" s="489">
        <f>Indeksacja!$Q$44</f>
        <v>68.2</v>
      </c>
    </row>
    <row r="30" spans="1:15" hidden="1" outlineLevel="1">
      <c r="A30" s="35" t="str">
        <f>Indeksacja!$A$45</f>
        <v>Źródło: Eurostat, https://ec.europa.eu/eurostat/data/database Main GDP aggregates per capita [nama_10_pc] (aktualizacja 28.01.2022)</v>
      </c>
      <c r="B30" s="490"/>
      <c r="C30" s="490"/>
      <c r="D30" s="490"/>
      <c r="E30" s="490"/>
      <c r="F30" s="490"/>
      <c r="G30" s="490"/>
      <c r="H30" s="490"/>
      <c r="I30" s="490"/>
      <c r="J30" s="490"/>
      <c r="K30" s="490"/>
      <c r="L30" s="490"/>
      <c r="M30" s="490"/>
      <c r="N30" s="490"/>
      <c r="O30" s="490"/>
    </row>
    <row r="31" spans="1:15" hidden="1" outlineLevel="1"/>
    <row r="32" spans="1:15" s="613" customFormat="1" hidden="1" outlineLevel="1">
      <c r="A32" s="749" t="str">
        <f>'VoT czas ładunki'!$A$41</f>
        <v xml:space="preserve">Wyjaśnienie w sprawie przeliczenia wyjściowych wartości kosztów jednostkowych z zastosowaniem kursu walutowego PLN/EUR oraz PKB Polski per capita w jednostkach siły nabywczej (PPS): </v>
      </c>
      <c r="B32" s="749"/>
      <c r="C32" s="749"/>
      <c r="D32" s="749"/>
      <c r="E32" s="749"/>
      <c r="F32" s="749"/>
    </row>
    <row r="33" spans="1:17" s="694" customFormat="1" hidden="1" outlineLevel="1">
      <c r="A33" s="749"/>
      <c r="B33" s="749"/>
      <c r="C33" s="749"/>
      <c r="D33" s="749"/>
      <c r="E33" s="749"/>
      <c r="F33" s="749"/>
    </row>
    <row r="34" spans="1:17" s="613" customFormat="1" hidden="1" outlineLevel="1">
      <c r="A34" s="536" t="s">
        <v>531</v>
      </c>
    </row>
    <row r="35" spans="1:17" s="613" customFormat="1" hidden="1" outlineLevel="1"/>
    <row r="36" spans="1:17" hidden="1" outlineLevel="1">
      <c r="A36" s="9" t="s">
        <v>312</v>
      </c>
      <c r="B36" s="41">
        <v>2016</v>
      </c>
      <c r="C36" s="41">
        <f>B36+1</f>
        <v>2017</v>
      </c>
      <c r="D36" s="41">
        <f t="shared" ref="D36:G36" si="1">C36+1</f>
        <v>2018</v>
      </c>
      <c r="E36" s="41">
        <f t="shared" si="1"/>
        <v>2019</v>
      </c>
      <c r="F36" s="41">
        <f t="shared" si="1"/>
        <v>2020</v>
      </c>
      <c r="G36" s="41">
        <f t="shared" si="1"/>
        <v>2021</v>
      </c>
    </row>
    <row r="37" spans="1:17" ht="45" hidden="1" outlineLevel="1">
      <c r="A37" s="249" t="str">
        <f>Indeksacja!$A$63</f>
        <v>Indeksacja = Y * (PKB per cap PL) * (inflacja PL do roku bazowego), 
skumulowane od 2016</v>
      </c>
      <c r="B37" s="518">
        <f>Indeksacja!Q$63</f>
        <v>1</v>
      </c>
      <c r="C37" s="80">
        <f>Indeksacja!R$63</f>
        <v>1.0591673885350317</v>
      </c>
      <c r="D37" s="80">
        <f>Indeksacja!S$63</f>
        <v>1.1226294257010379</v>
      </c>
      <c r="E37" s="80">
        <f>Indeksacja!T$63</f>
        <v>1.1916636822847133</v>
      </c>
      <c r="F37" s="80">
        <f>Indeksacja!U$63</f>
        <v>1.2104272262990794</v>
      </c>
      <c r="G37" s="80">
        <f>Indeksacja!V$63</f>
        <v>1.3324960011633553</v>
      </c>
    </row>
    <row r="38" spans="1:17" hidden="1" outlineLevel="1">
      <c r="F38" s="555"/>
      <c r="G38" s="613"/>
    </row>
    <row r="39" spans="1:17" s="490" customFormat="1" ht="33" hidden="1" outlineLevel="1">
      <c r="A39" s="150" t="s">
        <v>907</v>
      </c>
      <c r="B39" s="41">
        <v>2016</v>
      </c>
      <c r="C39" s="41">
        <f>B39+1</f>
        <v>2017</v>
      </c>
      <c r="D39" s="41">
        <f t="shared" ref="D39" si="2">C39+1</f>
        <v>2018</v>
      </c>
      <c r="E39" s="41">
        <f t="shared" ref="E39:G39" si="3">D39+1</f>
        <v>2019</v>
      </c>
      <c r="F39" s="41">
        <f t="shared" si="3"/>
        <v>2020</v>
      </c>
      <c r="G39" s="41">
        <f t="shared" si="3"/>
        <v>2021</v>
      </c>
    </row>
    <row r="40" spans="1:17" ht="48" hidden="1" outlineLevel="1">
      <c r="A40" s="249" t="s">
        <v>908</v>
      </c>
      <c r="B40" s="711">
        <f>'Zmiany klimatu (GHG) samochody'!Q$107</f>
        <v>0</v>
      </c>
      <c r="C40" s="712">
        <f>'Zmiany klimatu (GHG) samochody'!R$107</f>
        <v>2.0000000000000094E-2</v>
      </c>
      <c r="D40" s="712">
        <f>'Zmiany klimatu (GHG) samochody'!S$107</f>
        <v>3.6320000000000088E-2</v>
      </c>
      <c r="E40" s="712">
        <f>'Zmiany klimatu (GHG) samochody'!T$107</f>
        <v>6.0155360000000019E-2</v>
      </c>
      <c r="F40" s="712">
        <f>'Zmiany klimatu (GHG) samochody'!U$107</f>
        <v>9.6200642239999953E-2</v>
      </c>
      <c r="G40" s="712">
        <f>'Zmiany klimatu (GHG) samochody'!V$107</f>
        <v>0.39692958593051575</v>
      </c>
    </row>
    <row r="41" spans="1:17" s="490" customFormat="1" hidden="1" outlineLevel="1">
      <c r="A41" s="506"/>
    </row>
    <row r="42" spans="1:17" s="490" customFormat="1" collapsed="1">
      <c r="A42" s="506"/>
    </row>
    <row r="43" spans="1:17" s="490" customFormat="1">
      <c r="A43" s="506" t="s">
        <v>850</v>
      </c>
    </row>
    <row r="44" spans="1:17" ht="15" customHeight="1">
      <c r="A44" s="854" t="s">
        <v>286</v>
      </c>
      <c r="B44" s="846" t="s">
        <v>308</v>
      </c>
      <c r="C44" s="847"/>
      <c r="D44" s="847"/>
      <c r="E44" s="847"/>
      <c r="F44" s="847"/>
      <c r="G44" s="847"/>
      <c r="H44" s="847"/>
      <c r="I44" s="847"/>
      <c r="J44" s="848"/>
      <c r="K44" s="843" t="s">
        <v>309</v>
      </c>
      <c r="L44" s="852"/>
      <c r="M44" s="852"/>
      <c r="N44" s="852"/>
      <c r="O44" s="852"/>
      <c r="P44" s="852"/>
      <c r="Q44" s="844"/>
    </row>
    <row r="45" spans="1:17">
      <c r="A45" s="855"/>
      <c r="B45" s="845" t="s">
        <v>83</v>
      </c>
      <c r="C45" s="845"/>
      <c r="D45" s="845"/>
      <c r="E45" s="845"/>
      <c r="F45" s="845" t="s">
        <v>287</v>
      </c>
      <c r="G45" s="845"/>
      <c r="H45" s="846" t="s">
        <v>301</v>
      </c>
      <c r="I45" s="849"/>
      <c r="J45" s="850"/>
      <c r="K45" s="851" t="s">
        <v>83</v>
      </c>
      <c r="L45" s="851"/>
      <c r="M45" s="851"/>
      <c r="N45" s="843" t="s">
        <v>305</v>
      </c>
      <c r="O45" s="844"/>
      <c r="P45" s="515" t="s">
        <v>306</v>
      </c>
      <c r="Q45" s="515" t="s">
        <v>307</v>
      </c>
    </row>
    <row r="46" spans="1:17" ht="30">
      <c r="A46" s="855"/>
      <c r="B46" s="508" t="s">
        <v>89</v>
      </c>
      <c r="C46" s="508" t="s">
        <v>288</v>
      </c>
      <c r="D46" s="515" t="s">
        <v>194</v>
      </c>
      <c r="E46" s="508" t="s">
        <v>289</v>
      </c>
      <c r="F46" s="515" t="s">
        <v>51</v>
      </c>
      <c r="G46" s="515" t="s">
        <v>297</v>
      </c>
      <c r="H46" s="515" t="s">
        <v>298</v>
      </c>
      <c r="I46" s="515" t="s">
        <v>299</v>
      </c>
      <c r="J46" s="515" t="s">
        <v>300</v>
      </c>
      <c r="K46" s="515" t="s">
        <v>302</v>
      </c>
      <c r="L46" s="515" t="s">
        <v>313</v>
      </c>
      <c r="M46" s="515" t="s">
        <v>303</v>
      </c>
      <c r="N46" s="515" t="s">
        <v>52</v>
      </c>
      <c r="O46" s="515" t="s">
        <v>304</v>
      </c>
      <c r="P46" s="509" t="s">
        <v>290</v>
      </c>
      <c r="Q46" s="509" t="s">
        <v>290</v>
      </c>
    </row>
    <row r="47" spans="1:17">
      <c r="A47" s="856"/>
      <c r="B47" s="514" t="s">
        <v>314</v>
      </c>
      <c r="C47" s="514" t="s">
        <v>314</v>
      </c>
      <c r="D47" s="514" t="s">
        <v>314</v>
      </c>
      <c r="E47" s="514" t="s">
        <v>314</v>
      </c>
      <c r="F47" s="514" t="s">
        <v>314</v>
      </c>
      <c r="G47" s="514" t="s">
        <v>314</v>
      </c>
      <c r="H47" s="514" t="s">
        <v>314</v>
      </c>
      <c r="I47" s="514" t="s">
        <v>314</v>
      </c>
      <c r="J47" s="514" t="s">
        <v>314</v>
      </c>
      <c r="K47" s="514" t="s">
        <v>142</v>
      </c>
      <c r="L47" s="514" t="s">
        <v>142</v>
      </c>
      <c r="M47" s="514" t="s">
        <v>315</v>
      </c>
      <c r="N47" s="514" t="s">
        <v>315</v>
      </c>
      <c r="O47" s="514" t="s">
        <v>315</v>
      </c>
      <c r="P47" s="514" t="s">
        <v>315</v>
      </c>
      <c r="Q47" s="514" t="s">
        <v>315</v>
      </c>
    </row>
    <row r="48" spans="1:17">
      <c r="A48" s="507" t="s">
        <v>199</v>
      </c>
      <c r="B48" s="520">
        <f t="shared" ref="B48:Q48" si="4">B9*$B$22*$B$25*$B$29/100*$G$37</f>
        <v>0.19595510760528553</v>
      </c>
      <c r="C48" s="520">
        <f t="shared" si="4"/>
        <v>3.6133891527380446E-2</v>
      </c>
      <c r="D48" s="520">
        <f t="shared" si="4"/>
        <v>3.6133891527380446E-2</v>
      </c>
      <c r="E48" s="520">
        <f t="shared" si="4"/>
        <v>0.57385869892061148</v>
      </c>
      <c r="F48" s="520">
        <f t="shared" si="4"/>
        <v>8.4895028786141788E-2</v>
      </c>
      <c r="G48" s="520">
        <f t="shared" si="4"/>
        <v>8.4895028786141788E-2</v>
      </c>
      <c r="H48" s="520">
        <f t="shared" si="4"/>
        <v>1.6150203389660529E-3</v>
      </c>
      <c r="I48" s="520">
        <f t="shared" si="4"/>
        <v>4.0513923818744822E-4</v>
      </c>
      <c r="J48" s="520">
        <f t="shared" si="4"/>
        <v>4.9481027011105974E-5</v>
      </c>
      <c r="K48" s="520">
        <f t="shared" si="4"/>
        <v>3.1453626616397257E-3</v>
      </c>
      <c r="L48" s="520">
        <f t="shared" si="4"/>
        <v>3.1453626616397257E-3</v>
      </c>
      <c r="M48" s="520">
        <f t="shared" si="4"/>
        <v>3.5436860733608848E-2</v>
      </c>
      <c r="N48" s="520">
        <f t="shared" si="4"/>
        <v>5.9926534581707545E-3</v>
      </c>
      <c r="O48" s="520">
        <f t="shared" si="4"/>
        <v>5.9926534581707545E-3</v>
      </c>
      <c r="P48" s="520">
        <f t="shared" si="4"/>
        <v>4.5740491367100549E-3</v>
      </c>
      <c r="Q48" s="520">
        <f t="shared" si="4"/>
        <v>1.921100637418223E-3</v>
      </c>
    </row>
    <row r="49" spans="1:17">
      <c r="A49" s="507" t="s">
        <v>291</v>
      </c>
      <c r="B49" s="520">
        <f t="shared" ref="B49:Q49" si="5">B10*$B$22*$B$25*$B$29/100*$G$37</f>
        <v>2.755076940544909E-2</v>
      </c>
      <c r="C49" s="520">
        <f t="shared" si="5"/>
        <v>2.7884669516818492E-2</v>
      </c>
      <c r="D49" s="520">
        <f t="shared" si="5"/>
        <v>2.6639867924432143E-2</v>
      </c>
      <c r="E49" s="520">
        <f t="shared" si="5"/>
        <v>2.3149632135707053E-2</v>
      </c>
      <c r="F49" s="520">
        <f t="shared" si="5"/>
        <v>9.0257388074515109E-5</v>
      </c>
      <c r="G49" s="520">
        <f t="shared" si="5"/>
        <v>2.055529001824459E-2</v>
      </c>
      <c r="H49" s="520">
        <f t="shared" si="5"/>
        <v>1.1746494607624784E-2</v>
      </c>
      <c r="I49" s="520">
        <f t="shared" si="5"/>
        <v>5.0535298607270072E-3</v>
      </c>
      <c r="J49" s="520">
        <f t="shared" si="5"/>
        <v>2.234039846785745E-3</v>
      </c>
      <c r="K49" s="520">
        <f t="shared" si="5"/>
        <v>4.3455820861624583E-2</v>
      </c>
      <c r="L49" s="520">
        <f t="shared" si="5"/>
        <v>0.11797245712064391</v>
      </c>
      <c r="M49" s="520">
        <f t="shared" si="5"/>
        <v>2.0372640781421369E-2</v>
      </c>
      <c r="N49" s="520">
        <f t="shared" si="5"/>
        <v>2.7110433330619362E-5</v>
      </c>
      <c r="O49" s="520">
        <f t="shared" si="5"/>
        <v>2.8945984821143009E-2</v>
      </c>
      <c r="P49" s="520">
        <f t="shared" si="5"/>
        <v>2.6254569061233947E-2</v>
      </c>
      <c r="Q49" s="520">
        <f t="shared" si="5"/>
        <v>1.1026919005718259E-2</v>
      </c>
    </row>
    <row r="50" spans="1:17">
      <c r="A50" s="513" t="s">
        <v>295</v>
      </c>
      <c r="B50" s="520">
        <f>B11*$B$22*$B$25*(100%+$G$40)</f>
        <v>6.5495620333557353E-2</v>
      </c>
      <c r="C50" s="520">
        <f>C11*$B$22*$B$25*(100%+$G$40)</f>
        <v>3.0544022493178315E-2</v>
      </c>
      <c r="D50" s="520">
        <f>D11*$B$22*$B$25*(100%+$G$40)</f>
        <v>2.9184161847176534E-2</v>
      </c>
      <c r="E50" s="520">
        <f>E11*$B$22*$B$25*(100%+$G$40)</f>
        <v>5.6631327617624315E-2</v>
      </c>
      <c r="F50" s="520">
        <f>F11*$B$22*$B$25*(100%+$G$40*(100%+'Zmiany klimatu (GHG) pociągi'!$V$98))</f>
        <v>0</v>
      </c>
      <c r="G50" s="520">
        <f t="shared" ref="G50:M50" si="6">G11*$B$22*$B$25*(100%+$G$40)</f>
        <v>1.2639282970705899E-2</v>
      </c>
      <c r="H50" s="520">
        <f t="shared" si="6"/>
        <v>0.14544319793678578</v>
      </c>
      <c r="I50" s="520">
        <f t="shared" si="6"/>
        <v>0.11246331446722956</v>
      </c>
      <c r="J50" s="520">
        <f t="shared" si="6"/>
        <v>0.136481687631342</v>
      </c>
      <c r="K50" s="520">
        <f t="shared" si="6"/>
        <v>0.1568040291484703</v>
      </c>
      <c r="L50" s="520">
        <f t="shared" si="6"/>
        <v>0.18822564665879529</v>
      </c>
      <c r="M50" s="520">
        <f t="shared" si="6"/>
        <v>2.4785487798638775E-2</v>
      </c>
      <c r="N50" s="520">
        <f>N11*$B$22*$B$25*(100%+$G$40*(100%+'Zmiany klimatu (GHG) pociągi'!$V$98))</f>
        <v>0</v>
      </c>
      <c r="O50" s="520">
        <f>O11*$B$22*$B$25*(100%+$G$40)</f>
        <v>1.5066007934630829E-2</v>
      </c>
      <c r="P50" s="520">
        <f>P11*$B$22*$B$25*(100%+$G$40)</f>
        <v>1.6173139846716152E-2</v>
      </c>
      <c r="Q50" s="520">
        <f>Q11*$B$22*$B$25*(100%+$G$40)</f>
        <v>6.7927187356207853E-3</v>
      </c>
    </row>
    <row r="51" spans="1:17">
      <c r="A51" s="507" t="s">
        <v>292</v>
      </c>
      <c r="B51" s="520">
        <f t="shared" ref="B51:Q51" si="7">B12*$B$22*$B$25*$B$29/100*$G$37</f>
        <v>2.256869385506113E-2</v>
      </c>
      <c r="C51" s="520">
        <f t="shared" si="7"/>
        <v>1.497279461399462E-2</v>
      </c>
      <c r="D51" s="520">
        <f t="shared" si="7"/>
        <v>1.0594257354950344E-2</v>
      </c>
      <c r="E51" s="520">
        <f t="shared" si="7"/>
        <v>0.26012119295531705</v>
      </c>
      <c r="F51" s="520">
        <f t="shared" si="7"/>
        <v>1.1570811021684425E-2</v>
      </c>
      <c r="G51" s="520">
        <f t="shared" si="7"/>
        <v>1.7358856754486965E-2</v>
      </c>
      <c r="H51" s="520">
        <f t="shared" si="7"/>
        <v>1.808866501164972E-2</v>
      </c>
      <c r="I51" s="520">
        <f t="shared" si="7"/>
        <v>4.5376691462222863E-3</v>
      </c>
      <c r="J51" s="520">
        <f t="shared" si="7"/>
        <v>5.5420089793376958E-4</v>
      </c>
      <c r="K51" s="520">
        <f t="shared" si="7"/>
        <v>5.2160108546618712E-2</v>
      </c>
      <c r="L51" s="520">
        <f t="shared" si="7"/>
        <v>5.2160108546618712E-2</v>
      </c>
      <c r="M51" s="520">
        <f t="shared" si="7"/>
        <v>1.9705164058425657E-2</v>
      </c>
      <c r="N51" s="520">
        <f t="shared" si="7"/>
        <v>7.0225206119365301E-3</v>
      </c>
      <c r="O51" s="520">
        <f t="shared" si="7"/>
        <v>1.2960134879903291E-2</v>
      </c>
      <c r="P51" s="520">
        <f t="shared" si="7"/>
        <v>0</v>
      </c>
      <c r="Q51" s="520">
        <f t="shared" si="7"/>
        <v>0</v>
      </c>
    </row>
    <row r="52" spans="1:17">
      <c r="A52" s="513" t="s">
        <v>294</v>
      </c>
      <c r="B52" s="520">
        <f t="shared" ref="B52:Q52" si="8">B13*$B$22*$B$25*$B$29/100*$G$37</f>
        <v>0.17855671529043679</v>
      </c>
      <c r="C52" s="520">
        <f t="shared" si="8"/>
        <v>3.7726482722684605E-2</v>
      </c>
      <c r="D52" s="520">
        <f t="shared" si="8"/>
        <v>3.7726482722684605E-2</v>
      </c>
      <c r="E52" s="520">
        <f t="shared" si="8"/>
        <v>0</v>
      </c>
      <c r="F52" s="520">
        <f t="shared" si="8"/>
        <v>0</v>
      </c>
      <c r="G52" s="520">
        <f t="shared" si="8"/>
        <v>0</v>
      </c>
      <c r="H52" s="520">
        <f t="shared" si="8"/>
        <v>0</v>
      </c>
      <c r="I52" s="520">
        <f t="shared" si="8"/>
        <v>0</v>
      </c>
      <c r="J52" s="520">
        <f t="shared" si="8"/>
        <v>0</v>
      </c>
      <c r="K52" s="520">
        <f t="shared" si="8"/>
        <v>0.48327534223482482</v>
      </c>
      <c r="L52" s="520">
        <f t="shared" si="8"/>
        <v>0.48327534223482482</v>
      </c>
      <c r="M52" s="520">
        <f t="shared" si="8"/>
        <v>3.7463615860329556E-2</v>
      </c>
      <c r="N52" s="520">
        <f t="shared" si="8"/>
        <v>0</v>
      </c>
      <c r="O52" s="520">
        <f t="shared" si="8"/>
        <v>0</v>
      </c>
      <c r="P52" s="520">
        <f t="shared" si="8"/>
        <v>0</v>
      </c>
      <c r="Q52" s="520">
        <f t="shared" si="8"/>
        <v>0</v>
      </c>
    </row>
    <row r="53" spans="1:17" ht="27.75">
      <c r="A53" s="516" t="s">
        <v>851</v>
      </c>
      <c r="B53" s="520">
        <f t="shared" ref="B53:Q53" si="9">B14*$B$22*$B$25*$B$29/100*$G$37</f>
        <v>1.2221675561763713E-2</v>
      </c>
      <c r="C53" s="520">
        <f t="shared" si="9"/>
        <v>5.8248497320847626E-3</v>
      </c>
      <c r="D53" s="520">
        <f t="shared" si="9"/>
        <v>5.1224292470496381E-3</v>
      </c>
      <c r="E53" s="520">
        <f t="shared" si="9"/>
        <v>1.625415909198049E-2</v>
      </c>
      <c r="F53" s="520">
        <f t="shared" si="9"/>
        <v>7.9587209200718489E-2</v>
      </c>
      <c r="G53" s="520">
        <f t="shared" si="9"/>
        <v>2.2254789638224215E-3</v>
      </c>
      <c r="H53" s="520">
        <f t="shared" si="9"/>
        <v>4.195566413948703E-2</v>
      </c>
      <c r="I53" s="520">
        <f t="shared" si="9"/>
        <v>2.794260055693653E-2</v>
      </c>
      <c r="J53" s="520">
        <f t="shared" si="9"/>
        <v>3.6014598403506792E-2</v>
      </c>
      <c r="K53" s="520">
        <f t="shared" si="9"/>
        <v>3.0204994047020591E-2</v>
      </c>
      <c r="L53" s="520">
        <f t="shared" si="9"/>
        <v>2.7565570979715761E-2</v>
      </c>
      <c r="M53" s="520">
        <f t="shared" si="9"/>
        <v>5.8810988907833312E-3</v>
      </c>
      <c r="N53" s="520">
        <f t="shared" si="9"/>
        <v>8.4591729417482064E-3</v>
      </c>
      <c r="O53" s="520">
        <f t="shared" si="9"/>
        <v>2.6808270682056245E-3</v>
      </c>
      <c r="P53" s="520">
        <f t="shared" si="9"/>
        <v>3.6015458675571171E-3</v>
      </c>
      <c r="Q53" s="520">
        <f t="shared" si="9"/>
        <v>1.5126492643739891E-3</v>
      </c>
    </row>
    <row r="54" spans="1:17">
      <c r="A54" s="664" t="s">
        <v>852</v>
      </c>
      <c r="B54" s="663">
        <f>B53/SUM(B48:B53)</f>
        <v>2.432907347294844E-2</v>
      </c>
      <c r="C54" s="663">
        <f t="shared" ref="C54:Q54" si="10">C53/SUM(C48:C53)</f>
        <v>3.8049349346011042E-2</v>
      </c>
      <c r="D54" s="663">
        <f t="shared" si="10"/>
        <v>3.5229648038249461E-2</v>
      </c>
      <c r="E54" s="663">
        <f t="shared" si="10"/>
        <v>1.7477308327932418E-2</v>
      </c>
      <c r="F54" s="663">
        <f t="shared" si="10"/>
        <v>0.4518321520632364</v>
      </c>
      <c r="G54" s="663">
        <f t="shared" si="10"/>
        <v>1.6164853016781642E-2</v>
      </c>
      <c r="H54" s="663">
        <f t="shared" si="10"/>
        <v>0.19171052223692372</v>
      </c>
      <c r="I54" s="663">
        <f t="shared" si="10"/>
        <v>0.18578578411923052</v>
      </c>
      <c r="J54" s="663">
        <f t="shared" si="10"/>
        <v>0.20540566461719439</v>
      </c>
      <c r="K54" s="663">
        <f t="shared" si="10"/>
        <v>3.9275943830438684E-2</v>
      </c>
      <c r="L54" s="663">
        <f t="shared" si="10"/>
        <v>3.1599409811740739E-2</v>
      </c>
      <c r="M54" s="663">
        <f t="shared" si="10"/>
        <v>4.0941935257575481E-2</v>
      </c>
      <c r="N54" s="663">
        <f t="shared" si="10"/>
        <v>0.39342323483481356</v>
      </c>
      <c r="O54" s="663">
        <f t="shared" si="10"/>
        <v>4.0837873899921898E-2</v>
      </c>
      <c r="P54" s="663">
        <f t="shared" si="10"/>
        <v>7.1172148636871671E-2</v>
      </c>
      <c r="Q54" s="663">
        <f t="shared" si="10"/>
        <v>7.1172148636871657E-2</v>
      </c>
    </row>
    <row r="55" spans="1:17" s="613" customFormat="1">
      <c r="B55" s="662"/>
      <c r="C55" s="662"/>
      <c r="D55" s="662"/>
      <c r="E55" s="662"/>
      <c r="F55" s="662"/>
      <c r="G55" s="662"/>
      <c r="H55" s="662"/>
      <c r="I55" s="662"/>
      <c r="J55" s="662"/>
      <c r="K55" s="662"/>
      <c r="L55" s="662"/>
      <c r="M55" s="662"/>
      <c r="N55" s="662"/>
      <c r="O55" s="662"/>
      <c r="P55" s="662"/>
      <c r="Q55" s="662"/>
    </row>
    <row r="56" spans="1:17">
      <c r="A56" s="512" t="s">
        <v>476</v>
      </c>
    </row>
    <row r="57" spans="1:17" s="613" customFormat="1">
      <c r="A57" s="512"/>
    </row>
    <row r="58" spans="1:17" s="613" customFormat="1">
      <c r="A58" s="857" t="s">
        <v>853</v>
      </c>
      <c r="B58" s="857"/>
      <c r="C58" s="857"/>
      <c r="D58" s="857"/>
      <c r="E58" s="857"/>
      <c r="F58" s="857"/>
    </row>
    <row r="59" spans="1:17" s="694" customFormat="1">
      <c r="A59" s="857"/>
      <c r="B59" s="857"/>
      <c r="C59" s="857"/>
      <c r="D59" s="857"/>
      <c r="E59" s="857"/>
      <c r="F59" s="857"/>
    </row>
    <row r="60" spans="1:17" s="613" customFormat="1">
      <c r="A60" s="715" t="s">
        <v>854</v>
      </c>
      <c r="B60" s="715"/>
      <c r="C60" s="715"/>
      <c r="D60" s="715"/>
      <c r="E60" s="715"/>
      <c r="F60" s="715"/>
    </row>
    <row r="61" spans="1:17" s="694" customFormat="1">
      <c r="A61" s="715"/>
      <c r="B61" s="715"/>
      <c r="C61" s="715"/>
      <c r="D61" s="715"/>
      <c r="E61" s="715"/>
      <c r="F61" s="715"/>
    </row>
    <row r="62" spans="1:17" s="613" customFormat="1" ht="15" customHeight="1">
      <c r="A62" s="762" t="s">
        <v>906</v>
      </c>
      <c r="B62" s="762"/>
      <c r="C62" s="762"/>
      <c r="D62" s="762"/>
      <c r="E62" s="762"/>
      <c r="F62" s="762"/>
    </row>
    <row r="63" spans="1:17" s="709" customFormat="1">
      <c r="A63" s="762"/>
      <c r="B63" s="762"/>
      <c r="C63" s="762"/>
      <c r="D63" s="762"/>
      <c r="E63" s="762"/>
      <c r="F63" s="762"/>
    </row>
    <row r="64" spans="1:17" s="694" customFormat="1">
      <c r="A64" s="762"/>
      <c r="B64" s="762"/>
      <c r="C64" s="762"/>
      <c r="D64" s="762"/>
      <c r="E64" s="762"/>
      <c r="F64" s="762"/>
    </row>
    <row r="65" spans="1:6">
      <c r="A65" s="715" t="s">
        <v>855</v>
      </c>
      <c r="B65" s="715"/>
      <c r="C65" s="715"/>
      <c r="D65" s="715"/>
      <c r="E65" s="715"/>
      <c r="F65" s="715"/>
    </row>
    <row r="66" spans="1:6" s="694" customFormat="1">
      <c r="A66" s="715"/>
      <c r="B66" s="715"/>
      <c r="C66" s="715"/>
      <c r="D66" s="715"/>
      <c r="E66" s="715"/>
      <c r="F66" s="715"/>
    </row>
    <row r="67" spans="1:6" s="613" customFormat="1">
      <c r="A67" s="652" t="s">
        <v>518</v>
      </c>
    </row>
    <row r="68" spans="1:6" s="613" customFormat="1" ht="18" customHeight="1">
      <c r="A68" s="715" t="s">
        <v>856</v>
      </c>
      <c r="B68" s="715"/>
      <c r="C68" s="715"/>
      <c r="D68" s="715"/>
      <c r="E68" s="715"/>
      <c r="F68" s="715"/>
    </row>
    <row r="69" spans="1:6" s="694" customFormat="1">
      <c r="A69" s="715"/>
      <c r="B69" s="715"/>
      <c r="C69" s="715"/>
      <c r="D69" s="715"/>
      <c r="E69" s="715"/>
      <c r="F69" s="715"/>
    </row>
    <row r="70" spans="1:6" s="613" customFormat="1" ht="18">
      <c r="A70" s="651" t="s">
        <v>527</v>
      </c>
    </row>
    <row r="71" spans="1:6" ht="18" customHeight="1">
      <c r="A71" s="715" t="s">
        <v>857</v>
      </c>
      <c r="B71" s="715"/>
      <c r="C71" s="715"/>
      <c r="D71" s="715"/>
      <c r="E71" s="715"/>
      <c r="F71" s="715"/>
    </row>
    <row r="72" spans="1:6" s="694" customFormat="1">
      <c r="A72" s="715"/>
      <c r="B72" s="715"/>
      <c r="C72" s="715"/>
      <c r="D72" s="715"/>
      <c r="E72" s="715"/>
      <c r="F72" s="715"/>
    </row>
    <row r="73" spans="1:6" s="613" customFormat="1" ht="18">
      <c r="A73" s="652" t="s">
        <v>525</v>
      </c>
    </row>
    <row r="74" spans="1:6" s="613" customFormat="1">
      <c r="A74" s="613" t="s">
        <v>858</v>
      </c>
    </row>
    <row r="75" spans="1:6" s="613" customFormat="1">
      <c r="A75" s="715" t="s">
        <v>859</v>
      </c>
      <c r="B75" s="715"/>
      <c r="C75" s="715"/>
      <c r="D75" s="715"/>
      <c r="E75" s="715"/>
      <c r="F75" s="715"/>
    </row>
    <row r="76" spans="1:6" s="694" customFormat="1">
      <c r="A76" s="715"/>
      <c r="B76" s="715"/>
      <c r="C76" s="715"/>
      <c r="D76" s="715"/>
      <c r="E76" s="715"/>
      <c r="F76" s="715"/>
    </row>
    <row r="77" spans="1:6" s="613" customFormat="1">
      <c r="A77" s="715" t="s">
        <v>860</v>
      </c>
      <c r="B77" s="715"/>
      <c r="C77" s="715"/>
      <c r="D77" s="715"/>
      <c r="E77" s="715"/>
      <c r="F77" s="715"/>
    </row>
    <row r="78" spans="1:6" s="694" customFormat="1">
      <c r="A78" s="715"/>
      <c r="B78" s="715"/>
      <c r="C78" s="715"/>
      <c r="D78" s="715"/>
      <c r="E78" s="715"/>
      <c r="F78" s="715"/>
    </row>
    <row r="79" spans="1:6" s="694" customFormat="1">
      <c r="A79" s="715" t="s">
        <v>863</v>
      </c>
      <c r="B79" s="715"/>
      <c r="C79" s="715"/>
      <c r="D79" s="715"/>
      <c r="E79" s="715"/>
      <c r="F79" s="715"/>
    </row>
    <row r="80" spans="1:6" s="694" customFormat="1">
      <c r="A80" s="715"/>
      <c r="B80" s="715"/>
      <c r="C80" s="715"/>
      <c r="D80" s="715"/>
      <c r="E80" s="715"/>
      <c r="F80" s="715"/>
    </row>
    <row r="81" spans="1:17"/>
    <row r="82" spans="1:17">
      <c r="A82" s="206" t="s">
        <v>861</v>
      </c>
    </row>
    <row r="83" spans="1:17">
      <c r="A83" s="853" t="s">
        <v>516</v>
      </c>
      <c r="B83" s="688" t="s">
        <v>328</v>
      </c>
      <c r="C83" s="6">
        <v>2022</v>
      </c>
      <c r="D83" s="6">
        <f>C83+1</f>
        <v>2023</v>
      </c>
      <c r="E83" s="6">
        <f t="shared" ref="E83:Q83" si="11">D83+1</f>
        <v>2024</v>
      </c>
      <c r="F83" s="6">
        <f t="shared" si="11"/>
        <v>2025</v>
      </c>
      <c r="G83" s="6">
        <f t="shared" si="11"/>
        <v>2026</v>
      </c>
      <c r="H83" s="6">
        <f t="shared" si="11"/>
        <v>2027</v>
      </c>
      <c r="I83" s="6">
        <f t="shared" si="11"/>
        <v>2028</v>
      </c>
      <c r="J83" s="6">
        <f t="shared" si="11"/>
        <v>2029</v>
      </c>
      <c r="K83" s="6">
        <f t="shared" si="11"/>
        <v>2030</v>
      </c>
      <c r="L83" s="6">
        <f t="shared" si="11"/>
        <v>2031</v>
      </c>
      <c r="M83" s="6">
        <f t="shared" si="11"/>
        <v>2032</v>
      </c>
      <c r="N83" s="6">
        <f t="shared" si="11"/>
        <v>2033</v>
      </c>
      <c r="O83" s="6">
        <f t="shared" si="11"/>
        <v>2034</v>
      </c>
      <c r="P83" s="6">
        <f t="shared" si="11"/>
        <v>2035</v>
      </c>
      <c r="Q83" s="6">
        <f t="shared" si="11"/>
        <v>2036</v>
      </c>
    </row>
    <row r="84" spans="1:17">
      <c r="A84" s="833"/>
      <c r="B84" s="689" t="s">
        <v>530</v>
      </c>
      <c r="C84" s="683">
        <f>DATE(2021,12,31)</f>
        <v>44561</v>
      </c>
      <c r="D84" s="683">
        <f>DATE(YEAR(C84+1),12,31)</f>
        <v>44926</v>
      </c>
      <c r="E84" s="683">
        <f t="shared" ref="E84:Q84" si="12">DATE(YEAR(D84+1),12,31)</f>
        <v>45291</v>
      </c>
      <c r="F84" s="683">
        <f t="shared" si="12"/>
        <v>45657</v>
      </c>
      <c r="G84" s="683">
        <f t="shared" si="12"/>
        <v>46022</v>
      </c>
      <c r="H84" s="683">
        <f t="shared" si="12"/>
        <v>46387</v>
      </c>
      <c r="I84" s="683">
        <f t="shared" si="12"/>
        <v>46752</v>
      </c>
      <c r="J84" s="683">
        <f t="shared" si="12"/>
        <v>47118</v>
      </c>
      <c r="K84" s="683">
        <f t="shared" si="12"/>
        <v>47483</v>
      </c>
      <c r="L84" s="683">
        <f t="shared" si="12"/>
        <v>47848</v>
      </c>
      <c r="M84" s="683">
        <f t="shared" si="12"/>
        <v>48213</v>
      </c>
      <c r="N84" s="683">
        <f t="shared" si="12"/>
        <v>48579</v>
      </c>
      <c r="O84" s="683">
        <f t="shared" si="12"/>
        <v>48944</v>
      </c>
      <c r="P84" s="683">
        <f t="shared" si="12"/>
        <v>49309</v>
      </c>
      <c r="Q84" s="683">
        <f t="shared" si="12"/>
        <v>49674</v>
      </c>
    </row>
    <row r="85" spans="1:17">
      <c r="A85" s="507" t="s">
        <v>199</v>
      </c>
      <c r="B85" s="354" t="s">
        <v>517</v>
      </c>
      <c r="C85" s="362">
        <f>B48</f>
        <v>0.19595510760528553</v>
      </c>
      <c r="D85" s="363">
        <f>C85*Indeksacja!W$61</f>
        <v>0.20222435749053411</v>
      </c>
      <c r="E85" s="354">
        <f>D85*Indeksacja!X$61</f>
        <v>0.20774840470349887</v>
      </c>
      <c r="F85" s="354">
        <f>E85*Indeksacja!Y$61</f>
        <v>0.21312016565538899</v>
      </c>
      <c r="G85" s="354">
        <f>F85*Indeksacja!Z$61</f>
        <v>0.21883332941368447</v>
      </c>
      <c r="H85" s="354">
        <f>G85*Indeksacja!AA$61</f>
        <v>0.22455685056165395</v>
      </c>
      <c r="I85" s="354">
        <f>H85*Indeksacja!AB$61</f>
        <v>0.23046383216809732</v>
      </c>
      <c r="J85" s="354">
        <f>I85*Indeksacja!AC$61</f>
        <v>0.23637569832222272</v>
      </c>
      <c r="K85" s="354">
        <f>J85*Indeksacja!AD$61</f>
        <v>0.2422839758709607</v>
      </c>
      <c r="L85" s="354">
        <f>K85*Indeksacja!AE$61</f>
        <v>0.24817965507708825</v>
      </c>
      <c r="M85" s="354">
        <f>L85*Indeksacja!AF$61</f>
        <v>0.25425811593550235</v>
      </c>
      <c r="N85" s="354">
        <f>M85*Indeksacja!AG$61</f>
        <v>0.26031914165467274</v>
      </c>
      <c r="O85" s="354">
        <f>N85*Indeksacja!AH$61</f>
        <v>0.26656054938930945</v>
      </c>
      <c r="P85" s="354">
        <f>O85*Indeksacja!AI$61</f>
        <v>0.27277092788094004</v>
      </c>
      <c r="Q85" s="354">
        <f>P85*Indeksacja!AJ$61</f>
        <v>0.27893676471285422</v>
      </c>
    </row>
    <row r="86" spans="1:17">
      <c r="A86" s="513" t="s">
        <v>295</v>
      </c>
      <c r="B86" s="354" t="s">
        <v>517</v>
      </c>
      <c r="C86" s="362">
        <f>B50</f>
        <v>6.5495620333557353E-2</v>
      </c>
      <c r="D86" s="363">
        <f>C86*(100%+'Zmiany klimatu (GHG) samochody'!W$106)</f>
        <v>7.697423420644886E-2</v>
      </c>
      <c r="E86" s="354">
        <f>D86*(100%+'Zmiany klimatu (GHG) samochody'!X$106)</f>
        <v>8.845284807934034E-2</v>
      </c>
      <c r="F86" s="354">
        <f>E86*(100%+'Zmiany klimatu (GHG) samochody'!Y$106)</f>
        <v>9.9931461952231848E-2</v>
      </c>
      <c r="G86" s="354">
        <f>F86*(100%+'Zmiany klimatu (GHG) samochody'!Z$106)</f>
        <v>0.11141007582512336</v>
      </c>
      <c r="H86" s="354">
        <f>G86*(100%+'Zmiany klimatu (GHG) samochody'!AA$106)</f>
        <v>0.12288868969801485</v>
      </c>
      <c r="I86" s="354">
        <f>H86*(100%+'Zmiany klimatu (GHG) samochody'!AB$106)</f>
        <v>0.13436730357090634</v>
      </c>
      <c r="J86" s="354">
        <f>I86*(100%+'Zmiany klimatu (GHG) samochody'!AC$106)</f>
        <v>0.14584591744379785</v>
      </c>
      <c r="K86" s="354">
        <f>J86*(100%+'Zmiany klimatu (GHG) samochody'!AD$106)</f>
        <v>0.15732453131668936</v>
      </c>
      <c r="L86" s="354">
        <f>K86*(100%+'Zmiany klimatu (GHG) samochody'!AE$106)</f>
        <v>0.16880314518958087</v>
      </c>
      <c r="M86" s="354">
        <f>L86*(100%+'Zmiany klimatu (GHG) samochody'!AF$106)</f>
        <v>0.18770909745081391</v>
      </c>
      <c r="N86" s="354">
        <f>M86*(100%+'Zmiany klimatu (GHG) samochody'!AG$106)</f>
        <v>0.20661504971204697</v>
      </c>
      <c r="O86" s="354">
        <f>N86*(100%+'Zmiany klimatu (GHG) samochody'!AH$106)</f>
        <v>0.22552100197328007</v>
      </c>
      <c r="P86" s="354">
        <f>O86*(100%+'Zmiany klimatu (GHG) samochody'!AI$106)</f>
        <v>0.24442695423451313</v>
      </c>
      <c r="Q86" s="354">
        <f>P86*(100%+'Zmiany klimatu (GHG) samochody'!AJ$106)</f>
        <v>0.2633329064957462</v>
      </c>
    </row>
    <row r="87" spans="1:17"/>
    <row r="88" spans="1:17">
      <c r="A88" s="206" t="s">
        <v>862</v>
      </c>
      <c r="B88" s="613"/>
      <c r="C88" s="613"/>
      <c r="D88" s="613"/>
      <c r="E88" s="613"/>
      <c r="F88" s="613"/>
      <c r="G88" s="613"/>
      <c r="H88" s="613"/>
      <c r="I88" s="613"/>
      <c r="J88" s="613"/>
      <c r="K88" s="613"/>
      <c r="L88" s="613"/>
      <c r="M88" s="613"/>
      <c r="N88" s="613"/>
      <c r="O88" s="613"/>
      <c r="P88" s="613"/>
      <c r="Q88" s="613"/>
    </row>
    <row r="89" spans="1:17">
      <c r="A89" s="853" t="s">
        <v>526</v>
      </c>
      <c r="B89" s="688" t="s">
        <v>328</v>
      </c>
      <c r="C89" s="6">
        <v>2022</v>
      </c>
      <c r="D89" s="6">
        <f>C89+1</f>
        <v>2023</v>
      </c>
      <c r="E89" s="6">
        <f t="shared" ref="E89:Q89" si="13">D89+1</f>
        <v>2024</v>
      </c>
      <c r="F89" s="6">
        <f t="shared" si="13"/>
        <v>2025</v>
      </c>
      <c r="G89" s="6">
        <f t="shared" si="13"/>
        <v>2026</v>
      </c>
      <c r="H89" s="6">
        <f t="shared" si="13"/>
        <v>2027</v>
      </c>
      <c r="I89" s="6">
        <f t="shared" si="13"/>
        <v>2028</v>
      </c>
      <c r="J89" s="6">
        <f t="shared" si="13"/>
        <v>2029</v>
      </c>
      <c r="K89" s="6">
        <f t="shared" si="13"/>
        <v>2030</v>
      </c>
      <c r="L89" s="6">
        <f t="shared" si="13"/>
        <v>2031</v>
      </c>
      <c r="M89" s="6">
        <f t="shared" si="13"/>
        <v>2032</v>
      </c>
      <c r="N89" s="6">
        <f t="shared" si="13"/>
        <v>2033</v>
      </c>
      <c r="O89" s="6">
        <f t="shared" si="13"/>
        <v>2034</v>
      </c>
      <c r="P89" s="6">
        <f t="shared" si="13"/>
        <v>2035</v>
      </c>
      <c r="Q89" s="6">
        <f t="shared" si="13"/>
        <v>2036</v>
      </c>
    </row>
    <row r="90" spans="1:17">
      <c r="A90" s="833"/>
      <c r="B90" s="689" t="s">
        <v>530</v>
      </c>
      <c r="C90" s="683">
        <f>DATE(2021,12,31)</f>
        <v>44561</v>
      </c>
      <c r="D90" s="683">
        <f>DATE(YEAR(C90+1),12,31)</f>
        <v>44926</v>
      </c>
      <c r="E90" s="683">
        <f t="shared" ref="E90:Q90" si="14">DATE(YEAR(D90+1),12,31)</f>
        <v>45291</v>
      </c>
      <c r="F90" s="683">
        <f t="shared" si="14"/>
        <v>45657</v>
      </c>
      <c r="G90" s="683">
        <f t="shared" si="14"/>
        <v>46022</v>
      </c>
      <c r="H90" s="683">
        <f t="shared" si="14"/>
        <v>46387</v>
      </c>
      <c r="I90" s="683">
        <f t="shared" si="14"/>
        <v>46752</v>
      </c>
      <c r="J90" s="683">
        <f t="shared" si="14"/>
        <v>47118</v>
      </c>
      <c r="K90" s="683">
        <f t="shared" si="14"/>
        <v>47483</v>
      </c>
      <c r="L90" s="683">
        <f t="shared" si="14"/>
        <v>47848</v>
      </c>
      <c r="M90" s="683">
        <f t="shared" si="14"/>
        <v>48213</v>
      </c>
      <c r="N90" s="683">
        <f t="shared" si="14"/>
        <v>48579</v>
      </c>
      <c r="O90" s="683">
        <f t="shared" si="14"/>
        <v>48944</v>
      </c>
      <c r="P90" s="683">
        <f t="shared" si="14"/>
        <v>49309</v>
      </c>
      <c r="Q90" s="683">
        <f t="shared" si="14"/>
        <v>49674</v>
      </c>
    </row>
    <row r="91" spans="1:17" s="613" customFormat="1">
      <c r="A91" s="667" t="s">
        <v>51</v>
      </c>
      <c r="B91" s="661"/>
      <c r="C91" s="535"/>
      <c r="D91" s="535"/>
      <c r="E91" s="535"/>
      <c r="F91" s="535"/>
      <c r="G91" s="535"/>
      <c r="H91" s="535"/>
      <c r="I91" s="535"/>
      <c r="J91" s="535"/>
      <c r="K91" s="535"/>
      <c r="L91" s="535"/>
      <c r="M91" s="535"/>
      <c r="N91" s="535"/>
      <c r="O91" s="535"/>
      <c r="P91" s="535"/>
      <c r="Q91" s="535"/>
    </row>
    <row r="92" spans="1:17" s="613" customFormat="1">
      <c r="A92" s="507" t="s">
        <v>199</v>
      </c>
      <c r="B92" s="354" t="s">
        <v>517</v>
      </c>
      <c r="C92" s="362">
        <f>F48</f>
        <v>8.4895028786141788E-2</v>
      </c>
      <c r="D92" s="363">
        <f>C92*Indeksacja!W$61</f>
        <v>8.7611100625145683E-2</v>
      </c>
      <c r="E92" s="354">
        <f>D92*Indeksacja!X$61</f>
        <v>9.0004322995778097E-2</v>
      </c>
      <c r="F92" s="354">
        <f>E92*Indeksacja!Y$61</f>
        <v>9.2331569303445576E-2</v>
      </c>
      <c r="G92" s="354">
        <f>F92*Indeksacja!Z$61</f>
        <v>9.4806723983758459E-2</v>
      </c>
      <c r="H92" s="354">
        <f>G92*Indeksacja!AA$61</f>
        <v>9.7286365869866942E-2</v>
      </c>
      <c r="I92" s="354">
        <f>H92*Indeksacja!AB$61</f>
        <v>9.9845489638808668E-2</v>
      </c>
      <c r="J92" s="354">
        <f>I92*Indeksacja!AC$61</f>
        <v>0.10240672957517845</v>
      </c>
      <c r="K92" s="354">
        <f>J92*Indeksacja!AD$61</f>
        <v>0.10496641479444292</v>
      </c>
      <c r="L92" s="354">
        <f>K92*Indeksacja!AE$61</f>
        <v>0.10752064194388904</v>
      </c>
      <c r="M92" s="354">
        <f>L92*Indeksacja!AF$61</f>
        <v>0.11015405689212272</v>
      </c>
      <c r="N92" s="354">
        <f>M92*Indeksacja!AG$61</f>
        <v>0.11277991829063744</v>
      </c>
      <c r="O92" s="354">
        <f>N92*Indeksacja!AH$61</f>
        <v>0.11548392787616632</v>
      </c>
      <c r="P92" s="354">
        <f>O92*Indeksacja!AI$61</f>
        <v>0.11817449444145238</v>
      </c>
      <c r="Q92" s="354">
        <f>P92*Indeksacja!AJ$61</f>
        <v>0.12084576390583601</v>
      </c>
    </row>
    <row r="93" spans="1:17" s="613" customFormat="1">
      <c r="A93" s="513" t="s">
        <v>295</v>
      </c>
      <c r="B93" s="354" t="s">
        <v>517</v>
      </c>
      <c r="C93" s="362">
        <f>F50</f>
        <v>0</v>
      </c>
      <c r="D93" s="363">
        <f>C93*(100%+'Zmiany klimatu (GHG) samochody'!W$106)*(100%+'Zmiany klimatu (GHG) pociągi'!W$97)</f>
        <v>0</v>
      </c>
      <c r="E93" s="354">
        <f>D93*(100%+'Zmiany klimatu (GHG) samochody'!X$106)*(100%+'Zmiany klimatu (GHG) pociągi'!X$97)</f>
        <v>0</v>
      </c>
      <c r="F93" s="354">
        <f>E93*(100%+'Zmiany klimatu (GHG) samochody'!Y$106)*(100%+'Zmiany klimatu (GHG) pociągi'!Y$97)</f>
        <v>0</v>
      </c>
      <c r="G93" s="354">
        <f>F93*(100%+'Zmiany klimatu (GHG) samochody'!Z$106)*(100%+'Zmiany klimatu (GHG) pociągi'!Z$97)</f>
        <v>0</v>
      </c>
      <c r="H93" s="354">
        <f>G93*(100%+'Zmiany klimatu (GHG) samochody'!AA$106)*(100%+'Zmiany klimatu (GHG) pociągi'!AA$97)</f>
        <v>0</v>
      </c>
      <c r="I93" s="354">
        <f>H93*(100%+'Zmiany klimatu (GHG) samochody'!AB$106)*(100%+'Zmiany klimatu (GHG) pociągi'!AB$97)</f>
        <v>0</v>
      </c>
      <c r="J93" s="354">
        <f>I93*(100%+'Zmiany klimatu (GHG) samochody'!AC$106)*(100%+'Zmiany klimatu (GHG) pociągi'!AC$97)</f>
        <v>0</v>
      </c>
      <c r="K93" s="354">
        <f>J93*(100%+'Zmiany klimatu (GHG) samochody'!AD$106)*(100%+'Zmiany klimatu (GHG) pociągi'!AD$97)</f>
        <v>0</v>
      </c>
      <c r="L93" s="354">
        <f>K93*(100%+'Zmiany klimatu (GHG) samochody'!AE$106)*(100%+'Zmiany klimatu (GHG) pociągi'!AE$97)</f>
        <v>0</v>
      </c>
      <c r="M93" s="354">
        <f>L93*(100%+'Zmiany klimatu (GHG) samochody'!AF$106)*(100%+'Zmiany klimatu (GHG) pociągi'!AF$97)</f>
        <v>0</v>
      </c>
      <c r="N93" s="354">
        <f>M93*(100%+'Zmiany klimatu (GHG) samochody'!AG$106)*(100%+'Zmiany klimatu (GHG) pociągi'!AG$97)</f>
        <v>0</v>
      </c>
      <c r="O93" s="354">
        <f>N93*(100%+'Zmiany klimatu (GHG) samochody'!AH$106)*(100%+'Zmiany klimatu (GHG) pociągi'!AH$97)</f>
        <v>0</v>
      </c>
      <c r="P93" s="354">
        <f>O93*(100%+'Zmiany klimatu (GHG) samochody'!AI$106)*(100%+'Zmiany klimatu (GHG) pociągi'!AI$97)</f>
        <v>0</v>
      </c>
      <c r="Q93" s="354">
        <f>P93*(100%+'Zmiany klimatu (GHG) samochody'!AJ$106)*(100%+'Zmiany klimatu (GHG) pociągi'!AJ$97)</f>
        <v>0</v>
      </c>
    </row>
    <row r="94" spans="1:17" s="613" customFormat="1">
      <c r="A94" s="667" t="s">
        <v>297</v>
      </c>
      <c r="B94" s="661"/>
      <c r="C94" s="535"/>
      <c r="D94" s="535"/>
      <c r="E94" s="535"/>
      <c r="F94" s="535"/>
      <c r="G94" s="535"/>
      <c r="H94" s="535"/>
      <c r="I94" s="535"/>
      <c r="J94" s="535"/>
      <c r="K94" s="535"/>
      <c r="L94" s="535"/>
      <c r="M94" s="535"/>
      <c r="N94" s="535"/>
      <c r="O94" s="535"/>
      <c r="P94" s="535"/>
      <c r="Q94" s="535"/>
    </row>
    <row r="95" spans="1:17">
      <c r="A95" s="507" t="s">
        <v>199</v>
      </c>
      <c r="B95" s="354" t="s">
        <v>517</v>
      </c>
      <c r="C95" s="362">
        <f>G48</f>
        <v>8.4895028786141788E-2</v>
      </c>
      <c r="D95" s="363">
        <f>C95*Indeksacja!W$61</f>
        <v>8.7611100625145683E-2</v>
      </c>
      <c r="E95" s="354">
        <f>D95*Indeksacja!X$61</f>
        <v>9.0004322995778097E-2</v>
      </c>
      <c r="F95" s="354">
        <f>E95*Indeksacja!Y$61</f>
        <v>9.2331569303445576E-2</v>
      </c>
      <c r="G95" s="354">
        <f>F95*Indeksacja!Z$61</f>
        <v>9.4806723983758459E-2</v>
      </c>
      <c r="H95" s="354">
        <f>G95*Indeksacja!AA$61</f>
        <v>9.7286365869866942E-2</v>
      </c>
      <c r="I95" s="354">
        <f>H95*Indeksacja!AB$61</f>
        <v>9.9845489638808668E-2</v>
      </c>
      <c r="J95" s="354">
        <f>I95*Indeksacja!AC$61</f>
        <v>0.10240672957517845</v>
      </c>
      <c r="K95" s="354">
        <f>J95*Indeksacja!AD$61</f>
        <v>0.10496641479444292</v>
      </c>
      <c r="L95" s="354">
        <f>K95*Indeksacja!AE$61</f>
        <v>0.10752064194388904</v>
      </c>
      <c r="M95" s="354">
        <f>L95*Indeksacja!AF$61</f>
        <v>0.11015405689212272</v>
      </c>
      <c r="N95" s="354">
        <f>M95*Indeksacja!AG$61</f>
        <v>0.11277991829063744</v>
      </c>
      <c r="O95" s="354">
        <f>N95*Indeksacja!AH$61</f>
        <v>0.11548392787616632</v>
      </c>
      <c r="P95" s="354">
        <f>O95*Indeksacja!AI$61</f>
        <v>0.11817449444145238</v>
      </c>
      <c r="Q95" s="354">
        <f>P95*Indeksacja!AJ$61</f>
        <v>0.12084576390583601</v>
      </c>
    </row>
    <row r="96" spans="1:17">
      <c r="A96" s="513" t="s">
        <v>295</v>
      </c>
      <c r="B96" s="354" t="s">
        <v>517</v>
      </c>
      <c r="C96" s="362">
        <f>G50</f>
        <v>1.2639282970705899E-2</v>
      </c>
      <c r="D96" s="363">
        <f>C96*(100%+'Zmiany klimatu (GHG) samochody'!W$106)</f>
        <v>1.4854415037736834E-2</v>
      </c>
      <c r="E96" s="354">
        <f>D96*(100%+'Zmiany klimatu (GHG) samochody'!X$106)</f>
        <v>1.7069547104767761E-2</v>
      </c>
      <c r="F96" s="354">
        <f>E96*(100%+'Zmiany klimatu (GHG) samochody'!Y$106)</f>
        <v>1.9284679171798692E-2</v>
      </c>
      <c r="G96" s="354">
        <f>F96*(100%+'Zmiany klimatu (GHG) samochody'!Z$106)</f>
        <v>2.1499811238829623E-2</v>
      </c>
      <c r="H96" s="354">
        <f>G96*(100%+'Zmiany klimatu (GHG) samochody'!AA$106)</f>
        <v>2.3714943305860554E-2</v>
      </c>
      <c r="I96" s="354">
        <f>H96*(100%+'Zmiany klimatu (GHG) samochody'!AB$106)</f>
        <v>2.5930075372891482E-2</v>
      </c>
      <c r="J96" s="354">
        <f>I96*(100%+'Zmiany klimatu (GHG) samochody'!AC$106)</f>
        <v>2.8145207439922413E-2</v>
      </c>
      <c r="K96" s="354">
        <f>J96*(100%+'Zmiany klimatu (GHG) samochody'!AD$106)</f>
        <v>3.0360339506953344E-2</v>
      </c>
      <c r="L96" s="354">
        <f>K96*(100%+'Zmiany klimatu (GHG) samochody'!AE$106)</f>
        <v>3.2575471573984278E-2</v>
      </c>
      <c r="M96" s="354">
        <f>L96*(100%+'Zmiany klimatu (GHG) samochody'!AF$106)</f>
        <v>3.6223924390270515E-2</v>
      </c>
      <c r="N96" s="354">
        <f>M96*(100%+'Zmiany klimatu (GHG) samochody'!AG$106)</f>
        <v>3.9872377206556758E-2</v>
      </c>
      <c r="O96" s="354">
        <f>N96*(100%+'Zmiany klimatu (GHG) samochody'!AH$106)</f>
        <v>4.3520830022843002E-2</v>
      </c>
      <c r="P96" s="354">
        <f>O96*(100%+'Zmiany klimatu (GHG) samochody'!AI$106)</f>
        <v>4.7169282839129238E-2</v>
      </c>
      <c r="Q96" s="354">
        <f>P96*(100%+'Zmiany klimatu (GHG) samochody'!AJ$106)</f>
        <v>5.0817735655415482E-2</v>
      </c>
    </row>
    <row r="97"/>
    <row r="98" hidden="1"/>
    <row r="99" hidden="1"/>
  </sheetData>
  <mergeCells count="28">
    <mergeCell ref="A83:A84"/>
    <mergeCell ref="A89:A90"/>
    <mergeCell ref="A44:A47"/>
    <mergeCell ref="B45:E45"/>
    <mergeCell ref="A5:A8"/>
    <mergeCell ref="B6:E6"/>
    <mergeCell ref="A32:F33"/>
    <mergeCell ref="A58:F59"/>
    <mergeCell ref="A60:F61"/>
    <mergeCell ref="A62:F64"/>
    <mergeCell ref="A65:F66"/>
    <mergeCell ref="A68:F69"/>
    <mergeCell ref="A71:F72"/>
    <mergeCell ref="A75:F76"/>
    <mergeCell ref="A77:F78"/>
    <mergeCell ref="A79:F80"/>
    <mergeCell ref="N45:O45"/>
    <mergeCell ref="F6:G6"/>
    <mergeCell ref="B5:J5"/>
    <mergeCell ref="B44:J44"/>
    <mergeCell ref="F45:G45"/>
    <mergeCell ref="H45:J45"/>
    <mergeCell ref="K45:M45"/>
    <mergeCell ref="K5:Q5"/>
    <mergeCell ref="N6:O6"/>
    <mergeCell ref="K44:Q44"/>
    <mergeCell ref="H6:J6"/>
    <mergeCell ref="K6:M6"/>
  </mergeCells>
  <hyperlinks>
    <hyperlink ref="A70" location="'Zmiany klimatu (GHG) samochody'!A107" display="Zmiany kosztu jednostkowego CO2 po roku bazowym"/>
    <hyperlink ref="A73" location="'Zmiany klimatu (GHG) pociągi'!A98" display="Zmiany wskaźnika emisji CO2 po roku bazowym"/>
    <hyperlink ref="A67" location="Indeksacja!A61" display="Indeksacja ECT 2019 po roku bazowym"/>
    <hyperlink ref="A34" location="Indeksacja!A29" display="Nota metodologiczna"/>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1"/>
  <sheetViews>
    <sheetView workbookViewId="0">
      <pane xSplit="1" ySplit="3" topLeftCell="B4" activePane="bottomRight" state="frozen"/>
      <selection pane="topRight" activeCell="B1" sqref="B1"/>
      <selection pane="bottomLeft" activeCell="A3" sqref="A3"/>
      <selection pane="bottomRight" activeCell="B4" sqref="B4"/>
    </sheetView>
  </sheetViews>
  <sheetFormatPr defaultColWidth="0" defaultRowHeight="15" zeroHeight="1" outlineLevelRow="1" outlineLevelCol="1"/>
  <cols>
    <col min="1" max="1" width="30.7109375" style="548" customWidth="1"/>
    <col min="2" max="2" width="9.140625" style="548" customWidth="1"/>
    <col min="3" max="12" width="1.7109375" style="548" hidden="1" customWidth="1" outlineLevel="1"/>
    <col min="13" max="13" width="9.140625" style="548" customWidth="1" collapsed="1"/>
    <col min="14" max="61" width="11.7109375" style="548" customWidth="1"/>
    <col min="62" max="62" width="9.140625" style="548" customWidth="1"/>
    <col min="63" max="16384" width="9.140625" style="548" hidden="1"/>
  </cols>
  <sheetData>
    <row r="1" spans="1:61" ht="21">
      <c r="A1" s="4" t="s">
        <v>453</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t="s">
        <v>864</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c r="A3" s="548" t="str">
        <f>Indeksacja!$A$2</f>
        <v>Dla roku bazowego 2022 właściwe do zastosowania w analizie są wartości kosztów jednostkowych określone według poziomu cenowego z końca roku poprzedniego, tzn. 2021.</v>
      </c>
    </row>
    <row r="4" spans="1:61"/>
    <row r="5" spans="1:61">
      <c r="A5" s="9" t="s">
        <v>312</v>
      </c>
      <c r="B5" s="6"/>
      <c r="C5" s="6"/>
      <c r="D5" s="6"/>
      <c r="E5" s="6"/>
      <c r="F5" s="6"/>
      <c r="G5" s="6"/>
      <c r="H5" s="6"/>
      <c r="I5" s="6"/>
      <c r="J5" s="6"/>
      <c r="K5" s="6"/>
      <c r="L5" s="6"/>
      <c r="M5" s="6"/>
      <c r="N5" s="6">
        <v>2013</v>
      </c>
      <c r="O5" s="6">
        <f t="shared" ref="O5:BI5" si="0">N5+1</f>
        <v>2014</v>
      </c>
      <c r="P5" s="6">
        <f t="shared" si="0"/>
        <v>2015</v>
      </c>
      <c r="Q5" s="6">
        <f t="shared" si="0"/>
        <v>2016</v>
      </c>
      <c r="R5" s="6">
        <f t="shared" si="0"/>
        <v>2017</v>
      </c>
      <c r="S5" s="6">
        <f t="shared" si="0"/>
        <v>2018</v>
      </c>
      <c r="T5" s="6">
        <f t="shared" si="0"/>
        <v>2019</v>
      </c>
      <c r="U5" s="6">
        <f t="shared" si="0"/>
        <v>2020</v>
      </c>
      <c r="V5" s="6">
        <f t="shared" si="0"/>
        <v>2021</v>
      </c>
      <c r="W5" s="6">
        <f t="shared" si="0"/>
        <v>2022</v>
      </c>
      <c r="X5" s="6">
        <f t="shared" si="0"/>
        <v>2023</v>
      </c>
      <c r="Y5" s="6">
        <f t="shared" si="0"/>
        <v>2024</v>
      </c>
      <c r="Z5" s="6">
        <f t="shared" si="0"/>
        <v>2025</v>
      </c>
      <c r="AA5" s="6">
        <f t="shared" si="0"/>
        <v>2026</v>
      </c>
      <c r="AB5" s="6">
        <f t="shared" si="0"/>
        <v>2027</v>
      </c>
      <c r="AC5" s="6">
        <f t="shared" si="0"/>
        <v>2028</v>
      </c>
      <c r="AD5" s="6">
        <f t="shared" si="0"/>
        <v>2029</v>
      </c>
      <c r="AE5" s="6">
        <f t="shared" si="0"/>
        <v>2030</v>
      </c>
      <c r="AF5" s="6">
        <f t="shared" si="0"/>
        <v>2031</v>
      </c>
      <c r="AG5" s="6">
        <f t="shared" si="0"/>
        <v>2032</v>
      </c>
      <c r="AH5" s="6">
        <f t="shared" si="0"/>
        <v>2033</v>
      </c>
      <c r="AI5" s="6">
        <f t="shared" si="0"/>
        <v>2034</v>
      </c>
      <c r="AJ5" s="6">
        <f t="shared" si="0"/>
        <v>2035</v>
      </c>
      <c r="AK5" s="6">
        <f t="shared" si="0"/>
        <v>2036</v>
      </c>
      <c r="AL5" s="6">
        <f t="shared" si="0"/>
        <v>2037</v>
      </c>
      <c r="AM5" s="6">
        <f t="shared" si="0"/>
        <v>2038</v>
      </c>
      <c r="AN5" s="6">
        <f t="shared" si="0"/>
        <v>2039</v>
      </c>
      <c r="AO5" s="6">
        <f t="shared" si="0"/>
        <v>2040</v>
      </c>
      <c r="AP5" s="6">
        <f t="shared" si="0"/>
        <v>2041</v>
      </c>
      <c r="AQ5" s="6">
        <f t="shared" si="0"/>
        <v>2042</v>
      </c>
      <c r="AR5" s="6">
        <f t="shared" si="0"/>
        <v>2043</v>
      </c>
      <c r="AS5" s="6">
        <f t="shared" si="0"/>
        <v>2044</v>
      </c>
      <c r="AT5" s="6">
        <f t="shared" si="0"/>
        <v>2045</v>
      </c>
      <c r="AU5" s="6">
        <f t="shared" si="0"/>
        <v>2046</v>
      </c>
      <c r="AV5" s="6">
        <f t="shared" si="0"/>
        <v>2047</v>
      </c>
      <c r="AW5" s="6">
        <f t="shared" si="0"/>
        <v>2048</v>
      </c>
      <c r="AX5" s="6">
        <f t="shared" si="0"/>
        <v>2049</v>
      </c>
      <c r="AY5" s="6">
        <f t="shared" si="0"/>
        <v>2050</v>
      </c>
      <c r="AZ5" s="6">
        <f t="shared" si="0"/>
        <v>2051</v>
      </c>
      <c r="BA5" s="6">
        <f t="shared" si="0"/>
        <v>2052</v>
      </c>
      <c r="BB5" s="6">
        <f t="shared" si="0"/>
        <v>2053</v>
      </c>
      <c r="BC5" s="6">
        <f t="shared" si="0"/>
        <v>2054</v>
      </c>
      <c r="BD5" s="6">
        <f t="shared" si="0"/>
        <v>2055</v>
      </c>
      <c r="BE5" s="6">
        <f t="shared" si="0"/>
        <v>2056</v>
      </c>
      <c r="BF5" s="6">
        <f t="shared" si="0"/>
        <v>2057</v>
      </c>
      <c r="BG5" s="6">
        <f t="shared" si="0"/>
        <v>2058</v>
      </c>
      <c r="BH5" s="6">
        <f t="shared" si="0"/>
        <v>2059</v>
      </c>
      <c r="BI5" s="6">
        <f t="shared" si="0"/>
        <v>2060</v>
      </c>
    </row>
    <row r="6" spans="1:61">
      <c r="A6" s="8" t="s">
        <v>390</v>
      </c>
      <c r="B6" s="13"/>
      <c r="C6" s="13"/>
      <c r="D6" s="13"/>
      <c r="E6" s="13"/>
      <c r="F6" s="13"/>
      <c r="G6" s="13"/>
      <c r="H6" s="13"/>
      <c r="I6" s="13"/>
      <c r="J6" s="13"/>
      <c r="K6" s="13"/>
      <c r="L6" s="13"/>
      <c r="M6" s="13"/>
      <c r="N6" s="234">
        <f>Indeksacja!N$65</f>
        <v>1</v>
      </c>
      <c r="O6" s="130">
        <f>Indeksacja!O$65</f>
        <v>0.98799999999999999</v>
      </c>
      <c r="P6" s="130">
        <f>Indeksacja!P$65</f>
        <v>0.995</v>
      </c>
      <c r="Q6" s="130">
        <f>Indeksacja!Q$65</f>
        <v>0.996</v>
      </c>
      <c r="R6" s="130">
        <f>Indeksacja!R$65</f>
        <v>1.006</v>
      </c>
      <c r="S6" s="130">
        <f>Indeksacja!S$65</f>
        <v>1.0270000000000001</v>
      </c>
      <c r="T6" s="130">
        <f>Indeksacja!T$65</f>
        <v>1.0349999999999999</v>
      </c>
      <c r="U6" s="130">
        <f>Indeksacja!U$65</f>
        <v>1.026</v>
      </c>
      <c r="V6" s="130">
        <f>Indeksacja!V$65</f>
        <v>1.042</v>
      </c>
      <c r="W6" s="130">
        <f>Indeksacja!W$65</f>
        <v>1</v>
      </c>
      <c r="X6" s="130">
        <f>Indeksacja!X$65</f>
        <v>1</v>
      </c>
      <c r="Y6" s="130">
        <f>Indeksacja!Y$65</f>
        <v>1</v>
      </c>
      <c r="Z6" s="130">
        <f>Indeksacja!Z$65</f>
        <v>1</v>
      </c>
      <c r="AA6" s="130">
        <f>Indeksacja!AA$65</f>
        <v>1</v>
      </c>
      <c r="AB6" s="130">
        <f>Indeksacja!AB$65</f>
        <v>1</v>
      </c>
      <c r="AC6" s="130">
        <f>Indeksacja!AC$65</f>
        <v>1</v>
      </c>
      <c r="AD6" s="130">
        <f>Indeksacja!AD$65</f>
        <v>1</v>
      </c>
      <c r="AE6" s="130">
        <f>Indeksacja!AE$65</f>
        <v>1</v>
      </c>
      <c r="AF6" s="130">
        <f>Indeksacja!AF$65</f>
        <v>1</v>
      </c>
      <c r="AG6" s="130">
        <f>Indeksacja!AG$65</f>
        <v>1</v>
      </c>
      <c r="AH6" s="130">
        <f>Indeksacja!AH$65</f>
        <v>1</v>
      </c>
      <c r="AI6" s="130">
        <f>Indeksacja!AI$65</f>
        <v>1</v>
      </c>
      <c r="AJ6" s="130">
        <f>Indeksacja!AJ$65</f>
        <v>1</v>
      </c>
      <c r="AK6" s="130">
        <f>Indeksacja!AK$65</f>
        <v>1</v>
      </c>
      <c r="AL6" s="130">
        <f>Indeksacja!AL$65</f>
        <v>1</v>
      </c>
      <c r="AM6" s="130">
        <f>Indeksacja!AM$65</f>
        <v>1</v>
      </c>
      <c r="AN6" s="130">
        <f>Indeksacja!AN$65</f>
        <v>1</v>
      </c>
      <c r="AO6" s="130">
        <f>Indeksacja!AO$65</f>
        <v>1</v>
      </c>
      <c r="AP6" s="130">
        <f>Indeksacja!AP$65</f>
        <v>1</v>
      </c>
      <c r="AQ6" s="130">
        <f>Indeksacja!AQ$65</f>
        <v>1</v>
      </c>
      <c r="AR6" s="130">
        <f>Indeksacja!AR$65</f>
        <v>1</v>
      </c>
      <c r="AS6" s="130">
        <f>Indeksacja!AS$65</f>
        <v>1</v>
      </c>
      <c r="AT6" s="130">
        <f>Indeksacja!AT$65</f>
        <v>1</v>
      </c>
      <c r="AU6" s="130">
        <f>Indeksacja!AU$65</f>
        <v>1</v>
      </c>
      <c r="AV6" s="130">
        <f>Indeksacja!AV$65</f>
        <v>1</v>
      </c>
      <c r="AW6" s="130">
        <f>Indeksacja!AW$65</f>
        <v>1</v>
      </c>
      <c r="AX6" s="130">
        <f>Indeksacja!AX$65</f>
        <v>1</v>
      </c>
      <c r="AY6" s="130">
        <f>Indeksacja!AY$65</f>
        <v>1</v>
      </c>
      <c r="AZ6" s="130">
        <f>Indeksacja!AZ$65</f>
        <v>1</v>
      </c>
      <c r="BA6" s="130">
        <f>Indeksacja!BA$65</f>
        <v>1</v>
      </c>
      <c r="BB6" s="130">
        <f>Indeksacja!BB$65</f>
        <v>1</v>
      </c>
      <c r="BC6" s="130">
        <f>Indeksacja!BC$65</f>
        <v>1</v>
      </c>
      <c r="BD6" s="130">
        <f>Indeksacja!BD$65</f>
        <v>1</v>
      </c>
      <c r="BE6" s="130">
        <f>Indeksacja!BE$65</f>
        <v>1</v>
      </c>
      <c r="BF6" s="130">
        <f>Indeksacja!BF$65</f>
        <v>1</v>
      </c>
      <c r="BG6" s="130">
        <f>Indeksacja!BG$65</f>
        <v>1</v>
      </c>
      <c r="BH6" s="130">
        <f>Indeksacja!BH$65</f>
        <v>1</v>
      </c>
      <c r="BI6" s="130">
        <f>Indeksacja!BI$65</f>
        <v>1</v>
      </c>
    </row>
    <row r="7" spans="1:61">
      <c r="A7" s="742" t="s">
        <v>865</v>
      </c>
      <c r="B7" s="742"/>
      <c r="C7" s="742"/>
      <c r="D7" s="742"/>
      <c r="E7" s="742"/>
      <c r="F7" s="742"/>
      <c r="G7" s="742"/>
      <c r="H7" s="742"/>
      <c r="I7" s="742"/>
      <c r="J7" s="742"/>
      <c r="K7" s="742"/>
      <c r="L7" s="742"/>
      <c r="M7" s="742"/>
      <c r="N7" s="742"/>
      <c r="O7" s="742"/>
      <c r="P7" s="742"/>
      <c r="Q7" s="742"/>
      <c r="R7" s="742"/>
      <c r="S7" s="742"/>
      <c r="T7" s="742"/>
      <c r="U7" s="742"/>
    </row>
    <row r="8" spans="1:61" s="694" customFormat="1">
      <c r="A8" s="715"/>
      <c r="B8" s="715"/>
      <c r="C8" s="715"/>
      <c r="D8" s="715"/>
      <c r="E8" s="715"/>
      <c r="F8" s="715"/>
      <c r="G8" s="715"/>
      <c r="H8" s="715"/>
      <c r="I8" s="715"/>
      <c r="J8" s="715"/>
      <c r="K8" s="715"/>
      <c r="L8" s="715"/>
      <c r="M8" s="715"/>
      <c r="N8" s="715"/>
      <c r="O8" s="715"/>
      <c r="P8" s="715"/>
      <c r="Q8" s="715"/>
      <c r="R8" s="715"/>
      <c r="S8" s="715"/>
      <c r="T8" s="715"/>
      <c r="U8" s="715"/>
    </row>
    <row r="9" spans="1:61">
      <c r="A9" s="715"/>
      <c r="B9" s="715"/>
      <c r="C9" s="715"/>
      <c r="D9" s="715"/>
      <c r="E9" s="715"/>
      <c r="F9" s="715"/>
      <c r="G9" s="715"/>
      <c r="H9" s="715"/>
      <c r="I9" s="715"/>
      <c r="J9" s="715"/>
      <c r="K9" s="715"/>
      <c r="L9" s="715"/>
      <c r="M9" s="715"/>
      <c r="N9" s="715"/>
      <c r="O9" s="715"/>
      <c r="P9" s="715"/>
      <c r="Q9" s="715"/>
      <c r="R9" s="715"/>
      <c r="S9" s="715"/>
      <c r="T9" s="715"/>
      <c r="U9" s="715"/>
    </row>
    <row r="10" spans="1:61"/>
    <row r="11" spans="1:61">
      <c r="A11" s="206" t="s">
        <v>866</v>
      </c>
    </row>
    <row r="12" spans="1:61">
      <c r="T12" s="557"/>
      <c r="U12" s="557"/>
    </row>
    <row r="13" spans="1:61">
      <c r="A13" s="718" t="s">
        <v>867</v>
      </c>
      <c r="B13" s="685" t="s">
        <v>328</v>
      </c>
      <c r="C13" s="671"/>
      <c r="D13" s="671"/>
      <c r="E13" s="671"/>
      <c r="F13" s="671"/>
      <c r="G13" s="671"/>
      <c r="H13" s="671"/>
      <c r="I13" s="671"/>
      <c r="J13" s="671"/>
      <c r="K13" s="671"/>
      <c r="L13" s="671"/>
      <c r="M13" s="674"/>
      <c r="N13" s="6"/>
      <c r="O13" s="6"/>
      <c r="P13" s="6"/>
      <c r="Q13" s="6"/>
      <c r="R13" s="6"/>
      <c r="S13" s="6"/>
      <c r="T13" s="6">
        <v>2020</v>
      </c>
      <c r="U13" s="6">
        <f>T13+1</f>
        <v>2021</v>
      </c>
      <c r="V13" s="6">
        <f t="shared" ref="V13:AK13" si="1">U13+1</f>
        <v>2022</v>
      </c>
      <c r="W13" s="6">
        <f t="shared" si="1"/>
        <v>2023</v>
      </c>
      <c r="X13" s="6">
        <f t="shared" si="1"/>
        <v>2024</v>
      </c>
      <c r="Y13" s="6">
        <f t="shared" si="1"/>
        <v>2025</v>
      </c>
      <c r="Z13" s="6">
        <f t="shared" si="1"/>
        <v>2026</v>
      </c>
      <c r="AA13" s="6">
        <f t="shared" si="1"/>
        <v>2027</v>
      </c>
      <c r="AB13" s="6">
        <f t="shared" si="1"/>
        <v>2028</v>
      </c>
      <c r="AC13" s="6">
        <f t="shared" si="1"/>
        <v>2029</v>
      </c>
      <c r="AD13" s="6">
        <f t="shared" si="1"/>
        <v>2030</v>
      </c>
      <c r="AE13" s="6">
        <f t="shared" si="1"/>
        <v>2031</v>
      </c>
      <c r="AF13" s="6">
        <f t="shared" si="1"/>
        <v>2032</v>
      </c>
      <c r="AG13" s="6">
        <f t="shared" si="1"/>
        <v>2033</v>
      </c>
      <c r="AH13" s="6">
        <f t="shared" si="1"/>
        <v>2034</v>
      </c>
      <c r="AI13" s="6">
        <f t="shared" si="1"/>
        <v>2035</v>
      </c>
      <c r="AJ13" s="6">
        <f t="shared" si="1"/>
        <v>2036</v>
      </c>
      <c r="AK13" s="6">
        <f t="shared" si="1"/>
        <v>2037</v>
      </c>
      <c r="AL13" s="6">
        <f t="shared" ref="AL13:BA13" si="2">AK13+1</f>
        <v>2038</v>
      </c>
      <c r="AM13" s="6">
        <f t="shared" si="2"/>
        <v>2039</v>
      </c>
      <c r="AN13" s="6">
        <f t="shared" si="2"/>
        <v>2040</v>
      </c>
      <c r="AO13" s="6">
        <f t="shared" si="2"/>
        <v>2041</v>
      </c>
      <c r="AP13" s="6">
        <f t="shared" si="2"/>
        <v>2042</v>
      </c>
      <c r="AQ13" s="6">
        <f t="shared" si="2"/>
        <v>2043</v>
      </c>
      <c r="AR13" s="6">
        <f t="shared" si="2"/>
        <v>2044</v>
      </c>
      <c r="AS13" s="6">
        <f t="shared" si="2"/>
        <v>2045</v>
      </c>
      <c r="AT13" s="6">
        <f t="shared" si="2"/>
        <v>2046</v>
      </c>
      <c r="AU13" s="6">
        <f t="shared" si="2"/>
        <v>2047</v>
      </c>
      <c r="AV13" s="6">
        <f t="shared" si="2"/>
        <v>2048</v>
      </c>
      <c r="AW13" s="6">
        <f t="shared" si="2"/>
        <v>2049</v>
      </c>
      <c r="AX13" s="6">
        <f t="shared" si="2"/>
        <v>2050</v>
      </c>
      <c r="AY13" s="6">
        <f t="shared" si="2"/>
        <v>2051</v>
      </c>
      <c r="AZ13" s="6">
        <f t="shared" si="2"/>
        <v>2052</v>
      </c>
      <c r="BA13" s="6">
        <f t="shared" si="2"/>
        <v>2053</v>
      </c>
      <c r="BB13" s="6">
        <f t="shared" ref="BB13:BI13" si="3">BA13+1</f>
        <v>2054</v>
      </c>
      <c r="BC13" s="6">
        <f t="shared" si="3"/>
        <v>2055</v>
      </c>
      <c r="BD13" s="6">
        <f t="shared" si="3"/>
        <v>2056</v>
      </c>
      <c r="BE13" s="6">
        <f t="shared" si="3"/>
        <v>2057</v>
      </c>
      <c r="BF13" s="6">
        <f t="shared" si="3"/>
        <v>2058</v>
      </c>
      <c r="BG13" s="6">
        <f t="shared" si="3"/>
        <v>2059</v>
      </c>
      <c r="BH13" s="6">
        <f t="shared" si="3"/>
        <v>2060</v>
      </c>
      <c r="BI13" s="6">
        <f t="shared" si="3"/>
        <v>2061</v>
      </c>
    </row>
    <row r="14" spans="1:61">
      <c r="A14" s="719"/>
      <c r="B14" s="686" t="s">
        <v>530</v>
      </c>
      <c r="C14" s="669"/>
      <c r="D14" s="669"/>
      <c r="E14" s="669"/>
      <c r="F14" s="669"/>
      <c r="G14" s="669"/>
      <c r="H14" s="669"/>
      <c r="I14" s="669"/>
      <c r="J14" s="669"/>
      <c r="K14" s="669"/>
      <c r="L14" s="669"/>
      <c r="M14" s="687"/>
      <c r="N14" s="683">
        <f>DATE(2013,12,31)</f>
        <v>41639</v>
      </c>
      <c r="O14" s="683">
        <f>DATE(YEAR(N14+1),12,31)</f>
        <v>42004</v>
      </c>
      <c r="P14" s="683">
        <f t="shared" ref="P14:BI14" si="4">DATE(YEAR(O14+1),12,31)</f>
        <v>42369</v>
      </c>
      <c r="Q14" s="683">
        <f t="shared" si="4"/>
        <v>42735</v>
      </c>
      <c r="R14" s="683">
        <f t="shared" si="4"/>
        <v>43100</v>
      </c>
      <c r="S14" s="683">
        <f t="shared" si="4"/>
        <v>43465</v>
      </c>
      <c r="T14" s="683">
        <f t="shared" si="4"/>
        <v>43830</v>
      </c>
      <c r="U14" s="683">
        <f t="shared" si="4"/>
        <v>44196</v>
      </c>
      <c r="V14" s="683">
        <f t="shared" si="4"/>
        <v>44561</v>
      </c>
      <c r="W14" s="683">
        <f t="shared" si="4"/>
        <v>44926</v>
      </c>
      <c r="X14" s="683">
        <f t="shared" si="4"/>
        <v>45291</v>
      </c>
      <c r="Y14" s="683">
        <f t="shared" si="4"/>
        <v>45657</v>
      </c>
      <c r="Z14" s="683">
        <f t="shared" si="4"/>
        <v>46022</v>
      </c>
      <c r="AA14" s="683">
        <f t="shared" si="4"/>
        <v>46387</v>
      </c>
      <c r="AB14" s="683">
        <f t="shared" si="4"/>
        <v>46752</v>
      </c>
      <c r="AC14" s="683">
        <f t="shared" si="4"/>
        <v>47118</v>
      </c>
      <c r="AD14" s="683">
        <f t="shared" si="4"/>
        <v>47483</v>
      </c>
      <c r="AE14" s="683">
        <f t="shared" si="4"/>
        <v>47848</v>
      </c>
      <c r="AF14" s="683">
        <f t="shared" si="4"/>
        <v>48213</v>
      </c>
      <c r="AG14" s="683">
        <f t="shared" si="4"/>
        <v>48579</v>
      </c>
      <c r="AH14" s="683">
        <f t="shared" si="4"/>
        <v>48944</v>
      </c>
      <c r="AI14" s="683">
        <f t="shared" si="4"/>
        <v>49309</v>
      </c>
      <c r="AJ14" s="683">
        <f t="shared" si="4"/>
        <v>49674</v>
      </c>
      <c r="AK14" s="683">
        <f t="shared" si="4"/>
        <v>50040</v>
      </c>
      <c r="AL14" s="683">
        <f t="shared" si="4"/>
        <v>50405</v>
      </c>
      <c r="AM14" s="683">
        <f t="shared" si="4"/>
        <v>50770</v>
      </c>
      <c r="AN14" s="683">
        <f t="shared" si="4"/>
        <v>51135</v>
      </c>
      <c r="AO14" s="683">
        <f t="shared" si="4"/>
        <v>51501</v>
      </c>
      <c r="AP14" s="683">
        <f t="shared" si="4"/>
        <v>51866</v>
      </c>
      <c r="AQ14" s="683">
        <f t="shared" si="4"/>
        <v>52231</v>
      </c>
      <c r="AR14" s="683">
        <f t="shared" si="4"/>
        <v>52596</v>
      </c>
      <c r="AS14" s="683">
        <f t="shared" si="4"/>
        <v>52962</v>
      </c>
      <c r="AT14" s="683">
        <f t="shared" si="4"/>
        <v>53327</v>
      </c>
      <c r="AU14" s="683">
        <f t="shared" si="4"/>
        <v>53692</v>
      </c>
      <c r="AV14" s="683">
        <f t="shared" si="4"/>
        <v>54057</v>
      </c>
      <c r="AW14" s="683">
        <f t="shared" si="4"/>
        <v>54423</v>
      </c>
      <c r="AX14" s="683">
        <f t="shared" si="4"/>
        <v>54788</v>
      </c>
      <c r="AY14" s="683">
        <f t="shared" si="4"/>
        <v>55153</v>
      </c>
      <c r="AZ14" s="683">
        <f t="shared" si="4"/>
        <v>55518</v>
      </c>
      <c r="BA14" s="683">
        <f t="shared" si="4"/>
        <v>55884</v>
      </c>
      <c r="BB14" s="683">
        <f t="shared" si="4"/>
        <v>56249</v>
      </c>
      <c r="BC14" s="683">
        <f t="shared" si="4"/>
        <v>56614</v>
      </c>
      <c r="BD14" s="683">
        <f t="shared" si="4"/>
        <v>56979</v>
      </c>
      <c r="BE14" s="683">
        <f t="shared" si="4"/>
        <v>57345</v>
      </c>
      <c r="BF14" s="683">
        <f t="shared" si="4"/>
        <v>57710</v>
      </c>
      <c r="BG14" s="683">
        <f t="shared" si="4"/>
        <v>58075</v>
      </c>
      <c r="BH14" s="683">
        <f t="shared" si="4"/>
        <v>58440</v>
      </c>
      <c r="BI14" s="683">
        <f t="shared" si="4"/>
        <v>58806</v>
      </c>
    </row>
    <row r="15" spans="1:61">
      <c r="A15" s="8" t="s">
        <v>868</v>
      </c>
      <c r="B15" s="129" t="s">
        <v>393</v>
      </c>
      <c r="C15" s="90"/>
      <c r="D15" s="90"/>
      <c r="E15" s="90"/>
      <c r="F15" s="90"/>
      <c r="G15" s="90"/>
      <c r="H15" s="90"/>
      <c r="I15" s="90"/>
      <c r="J15" s="90"/>
      <c r="K15" s="90"/>
      <c r="L15" s="90"/>
      <c r="M15" s="560"/>
      <c r="N15" s="92">
        <v>180000</v>
      </c>
      <c r="O15" s="549">
        <f>N15*O$6</f>
        <v>177840</v>
      </c>
      <c r="P15" s="543">
        <f t="shared" ref="P15:AE20" si="5">O15*P$6</f>
        <v>176950.8</v>
      </c>
      <c r="Q15" s="543">
        <f t="shared" si="5"/>
        <v>176242.99679999999</v>
      </c>
      <c r="R15" s="543">
        <f t="shared" si="5"/>
        <v>177300.45478080001</v>
      </c>
      <c r="S15" s="543">
        <f t="shared" si="5"/>
        <v>182087.56705988164</v>
      </c>
      <c r="T15" s="599">
        <f t="shared" si="5"/>
        <v>188460.63190697748</v>
      </c>
      <c r="U15" s="599">
        <f t="shared" si="5"/>
        <v>193360.60833655889</v>
      </c>
      <c r="V15" s="601">
        <f>ROUND(U15*V$6,-(LEN(ROUND(U15*V$6,0))-2))</f>
        <v>200000</v>
      </c>
      <c r="W15" s="600">
        <f t="shared" ref="W15:W20" si="6">V15*W$6</f>
        <v>200000</v>
      </c>
      <c r="X15" s="543">
        <f t="shared" si="5"/>
        <v>200000</v>
      </c>
      <c r="Y15" s="543">
        <f t="shared" si="5"/>
        <v>200000</v>
      </c>
      <c r="Z15" s="543">
        <f t="shared" si="5"/>
        <v>200000</v>
      </c>
      <c r="AA15" s="543">
        <f t="shared" si="5"/>
        <v>200000</v>
      </c>
      <c r="AB15" s="543">
        <f t="shared" si="5"/>
        <v>200000</v>
      </c>
      <c r="AC15" s="543">
        <f t="shared" si="5"/>
        <v>200000</v>
      </c>
      <c r="AD15" s="543">
        <f t="shared" si="5"/>
        <v>200000</v>
      </c>
      <c r="AE15" s="543">
        <f t="shared" si="5"/>
        <v>200000</v>
      </c>
      <c r="AF15" s="543">
        <f t="shared" ref="AF15:AU20" si="7">AE15*AF$6</f>
        <v>200000</v>
      </c>
      <c r="AG15" s="543">
        <f t="shared" si="7"/>
        <v>200000</v>
      </c>
      <c r="AH15" s="543">
        <f t="shared" si="7"/>
        <v>200000</v>
      </c>
      <c r="AI15" s="543">
        <f t="shared" si="7"/>
        <v>200000</v>
      </c>
      <c r="AJ15" s="543">
        <f t="shared" si="7"/>
        <v>200000</v>
      </c>
      <c r="AK15" s="543">
        <f t="shared" si="7"/>
        <v>200000</v>
      </c>
      <c r="AL15" s="543">
        <f t="shared" si="7"/>
        <v>200000</v>
      </c>
      <c r="AM15" s="543">
        <f t="shared" si="7"/>
        <v>200000</v>
      </c>
      <c r="AN15" s="543">
        <f t="shared" si="7"/>
        <v>200000</v>
      </c>
      <c r="AO15" s="543">
        <f t="shared" si="7"/>
        <v>200000</v>
      </c>
      <c r="AP15" s="543">
        <f t="shared" si="7"/>
        <v>200000</v>
      </c>
      <c r="AQ15" s="543">
        <f t="shared" si="7"/>
        <v>200000</v>
      </c>
      <c r="AR15" s="543">
        <f t="shared" si="7"/>
        <v>200000</v>
      </c>
      <c r="AS15" s="543">
        <f t="shared" si="7"/>
        <v>200000</v>
      </c>
      <c r="AT15" s="543">
        <f t="shared" si="7"/>
        <v>200000</v>
      </c>
      <c r="AU15" s="543">
        <f t="shared" si="7"/>
        <v>200000</v>
      </c>
      <c r="AV15" s="543">
        <f t="shared" ref="AV15:BI20" si="8">AU15*AV$6</f>
        <v>200000</v>
      </c>
      <c r="AW15" s="543">
        <f t="shared" si="8"/>
        <v>200000</v>
      </c>
      <c r="AX15" s="543">
        <f t="shared" si="8"/>
        <v>200000</v>
      </c>
      <c r="AY15" s="543">
        <f t="shared" si="8"/>
        <v>200000</v>
      </c>
      <c r="AZ15" s="543">
        <f t="shared" si="8"/>
        <v>200000</v>
      </c>
      <c r="BA15" s="543">
        <f t="shared" si="8"/>
        <v>200000</v>
      </c>
      <c r="BB15" s="543">
        <f t="shared" si="8"/>
        <v>200000</v>
      </c>
      <c r="BC15" s="543">
        <f t="shared" si="8"/>
        <v>200000</v>
      </c>
      <c r="BD15" s="543">
        <f t="shared" si="8"/>
        <v>200000</v>
      </c>
      <c r="BE15" s="543">
        <f t="shared" si="8"/>
        <v>200000</v>
      </c>
      <c r="BF15" s="543">
        <f t="shared" si="8"/>
        <v>200000</v>
      </c>
      <c r="BG15" s="543">
        <f t="shared" si="8"/>
        <v>200000</v>
      </c>
      <c r="BH15" s="543">
        <f t="shared" si="8"/>
        <v>200000</v>
      </c>
      <c r="BI15" s="543">
        <f t="shared" si="8"/>
        <v>200000</v>
      </c>
    </row>
    <row r="16" spans="1:61">
      <c r="A16" s="8" t="s">
        <v>869</v>
      </c>
      <c r="B16" s="129" t="s">
        <v>393</v>
      </c>
      <c r="C16" s="90"/>
      <c r="D16" s="90"/>
      <c r="E16" s="90"/>
      <c r="F16" s="90"/>
      <c r="G16" s="90"/>
      <c r="H16" s="90"/>
      <c r="I16" s="90"/>
      <c r="J16" s="90"/>
      <c r="K16" s="90"/>
      <c r="L16" s="90"/>
      <c r="M16" s="560"/>
      <c r="N16" s="92">
        <v>130000</v>
      </c>
      <c r="O16" s="549">
        <f t="shared" ref="O16:O20" si="9">N16*O$6</f>
        <v>128440</v>
      </c>
      <c r="P16" s="543">
        <f t="shared" si="5"/>
        <v>127797.8</v>
      </c>
      <c r="Q16" s="543">
        <f t="shared" si="5"/>
        <v>127286.6088</v>
      </c>
      <c r="R16" s="543">
        <f t="shared" si="5"/>
        <v>128050.32845280001</v>
      </c>
      <c r="S16" s="543">
        <f t="shared" si="5"/>
        <v>131507.68732102562</v>
      </c>
      <c r="T16" s="599">
        <f t="shared" si="5"/>
        <v>136110.45637726149</v>
      </c>
      <c r="U16" s="599">
        <f t="shared" si="5"/>
        <v>139649.32824307028</v>
      </c>
      <c r="V16" s="601">
        <f t="shared" ref="V16:V20" si="10">ROUND(U16*V$6,-(LEN(ROUND(U16*V$6,0))-2))</f>
        <v>150000</v>
      </c>
      <c r="W16" s="600">
        <f t="shared" si="6"/>
        <v>150000</v>
      </c>
      <c r="X16" s="543">
        <f t="shared" si="5"/>
        <v>150000</v>
      </c>
      <c r="Y16" s="543">
        <f t="shared" si="5"/>
        <v>150000</v>
      </c>
      <c r="Z16" s="543">
        <f t="shared" si="5"/>
        <v>150000</v>
      </c>
      <c r="AA16" s="543">
        <f t="shared" si="5"/>
        <v>150000</v>
      </c>
      <c r="AB16" s="543">
        <f t="shared" si="5"/>
        <v>150000</v>
      </c>
      <c r="AC16" s="543">
        <f t="shared" si="5"/>
        <v>150000</v>
      </c>
      <c r="AD16" s="543">
        <f t="shared" si="5"/>
        <v>150000</v>
      </c>
      <c r="AE16" s="543">
        <f t="shared" si="5"/>
        <v>150000</v>
      </c>
      <c r="AF16" s="543">
        <f t="shared" si="7"/>
        <v>150000</v>
      </c>
      <c r="AG16" s="543">
        <f t="shared" si="7"/>
        <v>150000</v>
      </c>
      <c r="AH16" s="543">
        <f t="shared" si="7"/>
        <v>150000</v>
      </c>
      <c r="AI16" s="543">
        <f t="shared" si="7"/>
        <v>150000</v>
      </c>
      <c r="AJ16" s="543">
        <f t="shared" si="7"/>
        <v>150000</v>
      </c>
      <c r="AK16" s="543">
        <f t="shared" si="7"/>
        <v>150000</v>
      </c>
      <c r="AL16" s="543">
        <f t="shared" si="7"/>
        <v>150000</v>
      </c>
      <c r="AM16" s="543">
        <f t="shared" si="7"/>
        <v>150000</v>
      </c>
      <c r="AN16" s="543">
        <f t="shared" si="7"/>
        <v>150000</v>
      </c>
      <c r="AO16" s="543">
        <f t="shared" si="7"/>
        <v>150000</v>
      </c>
      <c r="AP16" s="543">
        <f t="shared" si="7"/>
        <v>150000</v>
      </c>
      <c r="AQ16" s="543">
        <f t="shared" si="7"/>
        <v>150000</v>
      </c>
      <c r="AR16" s="543">
        <f t="shared" si="7"/>
        <v>150000</v>
      </c>
      <c r="AS16" s="543">
        <f t="shared" si="7"/>
        <v>150000</v>
      </c>
      <c r="AT16" s="543">
        <f t="shared" si="7"/>
        <v>150000</v>
      </c>
      <c r="AU16" s="543">
        <f t="shared" si="7"/>
        <v>150000</v>
      </c>
      <c r="AV16" s="543">
        <f t="shared" si="8"/>
        <v>150000</v>
      </c>
      <c r="AW16" s="543">
        <f t="shared" si="8"/>
        <v>150000</v>
      </c>
      <c r="AX16" s="543">
        <f t="shared" si="8"/>
        <v>150000</v>
      </c>
      <c r="AY16" s="543">
        <f t="shared" si="8"/>
        <v>150000</v>
      </c>
      <c r="AZ16" s="543">
        <f t="shared" si="8"/>
        <v>150000</v>
      </c>
      <c r="BA16" s="543">
        <f t="shared" si="8"/>
        <v>150000</v>
      </c>
      <c r="BB16" s="543">
        <f t="shared" si="8"/>
        <v>150000</v>
      </c>
      <c r="BC16" s="543">
        <f t="shared" si="8"/>
        <v>150000</v>
      </c>
      <c r="BD16" s="543">
        <f t="shared" si="8"/>
        <v>150000</v>
      </c>
      <c r="BE16" s="543">
        <f t="shared" si="8"/>
        <v>150000</v>
      </c>
      <c r="BF16" s="543">
        <f t="shared" si="8"/>
        <v>150000</v>
      </c>
      <c r="BG16" s="543">
        <f t="shared" si="8"/>
        <v>150000</v>
      </c>
      <c r="BH16" s="543">
        <f t="shared" si="8"/>
        <v>150000</v>
      </c>
      <c r="BI16" s="543">
        <f t="shared" si="8"/>
        <v>150000</v>
      </c>
    </row>
    <row r="17" spans="1:61">
      <c r="A17" s="8" t="s">
        <v>870</v>
      </c>
      <c r="B17" s="129" t="s">
        <v>393</v>
      </c>
      <c r="C17" s="90"/>
      <c r="D17" s="90"/>
      <c r="E17" s="90"/>
      <c r="F17" s="90"/>
      <c r="G17" s="90"/>
      <c r="H17" s="90"/>
      <c r="I17" s="90"/>
      <c r="J17" s="90"/>
      <c r="K17" s="90"/>
      <c r="L17" s="90"/>
      <c r="M17" s="560"/>
      <c r="N17" s="92">
        <v>100000</v>
      </c>
      <c r="O17" s="549">
        <f t="shared" si="9"/>
        <v>98800</v>
      </c>
      <c r="P17" s="543">
        <f t="shared" si="5"/>
        <v>98306</v>
      </c>
      <c r="Q17" s="543">
        <f t="shared" si="5"/>
        <v>97912.775999999998</v>
      </c>
      <c r="R17" s="543">
        <f t="shared" si="5"/>
        <v>98500.252655999997</v>
      </c>
      <c r="S17" s="543">
        <f t="shared" si="5"/>
        <v>101159.75947771201</v>
      </c>
      <c r="T17" s="599">
        <f t="shared" si="5"/>
        <v>104700.35105943192</v>
      </c>
      <c r="U17" s="599">
        <f t="shared" si="5"/>
        <v>107422.56018697715</v>
      </c>
      <c r="V17" s="601">
        <f t="shared" si="10"/>
        <v>110000</v>
      </c>
      <c r="W17" s="600">
        <f t="shared" si="6"/>
        <v>110000</v>
      </c>
      <c r="X17" s="543">
        <f t="shared" si="5"/>
        <v>110000</v>
      </c>
      <c r="Y17" s="543">
        <f t="shared" si="5"/>
        <v>110000</v>
      </c>
      <c r="Z17" s="543">
        <f t="shared" si="5"/>
        <v>110000</v>
      </c>
      <c r="AA17" s="543">
        <f t="shared" si="5"/>
        <v>110000</v>
      </c>
      <c r="AB17" s="543">
        <f t="shared" si="5"/>
        <v>110000</v>
      </c>
      <c r="AC17" s="543">
        <f t="shared" si="5"/>
        <v>110000</v>
      </c>
      <c r="AD17" s="543">
        <f t="shared" si="5"/>
        <v>110000</v>
      </c>
      <c r="AE17" s="543">
        <f t="shared" si="5"/>
        <v>110000</v>
      </c>
      <c r="AF17" s="543">
        <f t="shared" si="7"/>
        <v>110000</v>
      </c>
      <c r="AG17" s="543">
        <f t="shared" si="7"/>
        <v>110000</v>
      </c>
      <c r="AH17" s="543">
        <f t="shared" si="7"/>
        <v>110000</v>
      </c>
      <c r="AI17" s="543">
        <f t="shared" si="7"/>
        <v>110000</v>
      </c>
      <c r="AJ17" s="543">
        <f t="shared" si="7"/>
        <v>110000</v>
      </c>
      <c r="AK17" s="543">
        <f t="shared" si="7"/>
        <v>110000</v>
      </c>
      <c r="AL17" s="543">
        <f t="shared" si="7"/>
        <v>110000</v>
      </c>
      <c r="AM17" s="543">
        <f t="shared" si="7"/>
        <v>110000</v>
      </c>
      <c r="AN17" s="543">
        <f t="shared" si="7"/>
        <v>110000</v>
      </c>
      <c r="AO17" s="543">
        <f t="shared" si="7"/>
        <v>110000</v>
      </c>
      <c r="AP17" s="543">
        <f t="shared" si="7"/>
        <v>110000</v>
      </c>
      <c r="AQ17" s="543">
        <f t="shared" si="7"/>
        <v>110000</v>
      </c>
      <c r="AR17" s="543">
        <f t="shared" si="7"/>
        <v>110000</v>
      </c>
      <c r="AS17" s="543">
        <f t="shared" si="7"/>
        <v>110000</v>
      </c>
      <c r="AT17" s="543">
        <f t="shared" si="7"/>
        <v>110000</v>
      </c>
      <c r="AU17" s="543">
        <f t="shared" si="7"/>
        <v>110000</v>
      </c>
      <c r="AV17" s="543">
        <f t="shared" si="8"/>
        <v>110000</v>
      </c>
      <c r="AW17" s="543">
        <f t="shared" si="8"/>
        <v>110000</v>
      </c>
      <c r="AX17" s="543">
        <f t="shared" si="8"/>
        <v>110000</v>
      </c>
      <c r="AY17" s="543">
        <f t="shared" si="8"/>
        <v>110000</v>
      </c>
      <c r="AZ17" s="543">
        <f t="shared" si="8"/>
        <v>110000</v>
      </c>
      <c r="BA17" s="543">
        <f t="shared" si="8"/>
        <v>110000</v>
      </c>
      <c r="BB17" s="543">
        <f t="shared" si="8"/>
        <v>110000</v>
      </c>
      <c r="BC17" s="543">
        <f t="shared" si="8"/>
        <v>110000</v>
      </c>
      <c r="BD17" s="543">
        <f t="shared" si="8"/>
        <v>110000</v>
      </c>
      <c r="BE17" s="543">
        <f t="shared" si="8"/>
        <v>110000</v>
      </c>
      <c r="BF17" s="543">
        <f t="shared" si="8"/>
        <v>110000</v>
      </c>
      <c r="BG17" s="543">
        <f t="shared" si="8"/>
        <v>110000</v>
      </c>
      <c r="BH17" s="543">
        <f t="shared" si="8"/>
        <v>110000</v>
      </c>
      <c r="BI17" s="543">
        <f t="shared" si="8"/>
        <v>110000</v>
      </c>
    </row>
    <row r="18" spans="1:61">
      <c r="A18" s="8" t="s">
        <v>871</v>
      </c>
      <c r="B18" s="129" t="s">
        <v>393</v>
      </c>
      <c r="C18" s="90"/>
      <c r="D18" s="90"/>
      <c r="E18" s="90"/>
      <c r="F18" s="90"/>
      <c r="G18" s="90"/>
      <c r="H18" s="90"/>
      <c r="I18" s="90"/>
      <c r="J18" s="90"/>
      <c r="K18" s="90"/>
      <c r="L18" s="90"/>
      <c r="M18" s="560"/>
      <c r="N18" s="92">
        <v>120000</v>
      </c>
      <c r="O18" s="549">
        <f t="shared" si="9"/>
        <v>118560</v>
      </c>
      <c r="P18" s="543">
        <f t="shared" si="5"/>
        <v>117967.2</v>
      </c>
      <c r="Q18" s="543">
        <f t="shared" si="5"/>
        <v>117495.3312</v>
      </c>
      <c r="R18" s="543">
        <f t="shared" si="5"/>
        <v>118200.3031872</v>
      </c>
      <c r="S18" s="543">
        <f t="shared" si="5"/>
        <v>121391.71137325441</v>
      </c>
      <c r="T18" s="599">
        <f t="shared" si="5"/>
        <v>125640.42127131831</v>
      </c>
      <c r="U18" s="599">
        <f t="shared" si="5"/>
        <v>128907.07222437259</v>
      </c>
      <c r="V18" s="601">
        <f t="shared" si="10"/>
        <v>130000</v>
      </c>
      <c r="W18" s="600">
        <f t="shared" si="6"/>
        <v>130000</v>
      </c>
      <c r="X18" s="543">
        <f t="shared" si="5"/>
        <v>130000</v>
      </c>
      <c r="Y18" s="543">
        <f t="shared" si="5"/>
        <v>130000</v>
      </c>
      <c r="Z18" s="543">
        <f t="shared" si="5"/>
        <v>130000</v>
      </c>
      <c r="AA18" s="543">
        <f t="shared" si="5"/>
        <v>130000</v>
      </c>
      <c r="AB18" s="543">
        <f t="shared" si="5"/>
        <v>130000</v>
      </c>
      <c r="AC18" s="543">
        <f t="shared" si="5"/>
        <v>130000</v>
      </c>
      <c r="AD18" s="543">
        <f t="shared" si="5"/>
        <v>130000</v>
      </c>
      <c r="AE18" s="543">
        <f t="shared" si="5"/>
        <v>130000</v>
      </c>
      <c r="AF18" s="543">
        <f t="shared" si="7"/>
        <v>130000</v>
      </c>
      <c r="AG18" s="543">
        <f t="shared" si="7"/>
        <v>130000</v>
      </c>
      <c r="AH18" s="543">
        <f t="shared" si="7"/>
        <v>130000</v>
      </c>
      <c r="AI18" s="543">
        <f t="shared" si="7"/>
        <v>130000</v>
      </c>
      <c r="AJ18" s="543">
        <f t="shared" si="7"/>
        <v>130000</v>
      </c>
      <c r="AK18" s="543">
        <f t="shared" si="7"/>
        <v>130000</v>
      </c>
      <c r="AL18" s="543">
        <f t="shared" si="7"/>
        <v>130000</v>
      </c>
      <c r="AM18" s="543">
        <f t="shared" si="7"/>
        <v>130000</v>
      </c>
      <c r="AN18" s="543">
        <f t="shared" si="7"/>
        <v>130000</v>
      </c>
      <c r="AO18" s="543">
        <f t="shared" si="7"/>
        <v>130000</v>
      </c>
      <c r="AP18" s="543">
        <f t="shared" si="7"/>
        <v>130000</v>
      </c>
      <c r="AQ18" s="543">
        <f t="shared" si="7"/>
        <v>130000</v>
      </c>
      <c r="AR18" s="543">
        <f t="shared" si="7"/>
        <v>130000</v>
      </c>
      <c r="AS18" s="543">
        <f t="shared" si="7"/>
        <v>130000</v>
      </c>
      <c r="AT18" s="543">
        <f t="shared" si="7"/>
        <v>130000</v>
      </c>
      <c r="AU18" s="543">
        <f t="shared" si="7"/>
        <v>130000</v>
      </c>
      <c r="AV18" s="543">
        <f t="shared" si="8"/>
        <v>130000</v>
      </c>
      <c r="AW18" s="543">
        <f t="shared" si="8"/>
        <v>130000</v>
      </c>
      <c r="AX18" s="543">
        <f t="shared" si="8"/>
        <v>130000</v>
      </c>
      <c r="AY18" s="543">
        <f t="shared" si="8"/>
        <v>130000</v>
      </c>
      <c r="AZ18" s="543">
        <f t="shared" si="8"/>
        <v>130000</v>
      </c>
      <c r="BA18" s="543">
        <f t="shared" si="8"/>
        <v>130000</v>
      </c>
      <c r="BB18" s="543">
        <f t="shared" si="8"/>
        <v>130000</v>
      </c>
      <c r="BC18" s="543">
        <f t="shared" si="8"/>
        <v>130000</v>
      </c>
      <c r="BD18" s="543">
        <f t="shared" si="8"/>
        <v>130000</v>
      </c>
      <c r="BE18" s="543">
        <f t="shared" si="8"/>
        <v>130000</v>
      </c>
      <c r="BF18" s="543">
        <f t="shared" si="8"/>
        <v>130000</v>
      </c>
      <c r="BG18" s="543">
        <f t="shared" si="8"/>
        <v>130000</v>
      </c>
      <c r="BH18" s="543">
        <f t="shared" si="8"/>
        <v>130000</v>
      </c>
      <c r="BI18" s="543">
        <f t="shared" si="8"/>
        <v>130000</v>
      </c>
    </row>
    <row r="19" spans="1:61">
      <c r="A19" s="8" t="s">
        <v>872</v>
      </c>
      <c r="B19" s="129" t="s">
        <v>393</v>
      </c>
      <c r="C19" s="90"/>
      <c r="D19" s="90"/>
      <c r="E19" s="90"/>
      <c r="F19" s="90"/>
      <c r="G19" s="90"/>
      <c r="H19" s="90"/>
      <c r="I19" s="90"/>
      <c r="J19" s="90"/>
      <c r="K19" s="90"/>
      <c r="L19" s="90"/>
      <c r="M19" s="560"/>
      <c r="N19" s="92">
        <v>60000</v>
      </c>
      <c r="O19" s="549">
        <f t="shared" si="9"/>
        <v>59280</v>
      </c>
      <c r="P19" s="543">
        <f t="shared" si="5"/>
        <v>58983.6</v>
      </c>
      <c r="Q19" s="543">
        <f t="shared" si="5"/>
        <v>58747.6656</v>
      </c>
      <c r="R19" s="543">
        <f t="shared" si="5"/>
        <v>59100.1515936</v>
      </c>
      <c r="S19" s="543">
        <f t="shared" si="5"/>
        <v>60695.855686627205</v>
      </c>
      <c r="T19" s="599">
        <f t="shared" si="5"/>
        <v>62820.210635659154</v>
      </c>
      <c r="U19" s="599">
        <f t="shared" si="5"/>
        <v>64453.536112186295</v>
      </c>
      <c r="V19" s="601">
        <f t="shared" si="10"/>
        <v>67000</v>
      </c>
      <c r="W19" s="600">
        <f t="shared" si="6"/>
        <v>67000</v>
      </c>
      <c r="X19" s="543">
        <f t="shared" si="5"/>
        <v>67000</v>
      </c>
      <c r="Y19" s="543">
        <f t="shared" si="5"/>
        <v>67000</v>
      </c>
      <c r="Z19" s="543">
        <f t="shared" si="5"/>
        <v>67000</v>
      </c>
      <c r="AA19" s="543">
        <f t="shared" si="5"/>
        <v>67000</v>
      </c>
      <c r="AB19" s="543">
        <f t="shared" si="5"/>
        <v>67000</v>
      </c>
      <c r="AC19" s="543">
        <f t="shared" si="5"/>
        <v>67000</v>
      </c>
      <c r="AD19" s="543">
        <f t="shared" si="5"/>
        <v>67000</v>
      </c>
      <c r="AE19" s="543">
        <f t="shared" si="5"/>
        <v>67000</v>
      </c>
      <c r="AF19" s="543">
        <f t="shared" si="7"/>
        <v>67000</v>
      </c>
      <c r="AG19" s="543">
        <f t="shared" si="7"/>
        <v>67000</v>
      </c>
      <c r="AH19" s="543">
        <f t="shared" si="7"/>
        <v>67000</v>
      </c>
      <c r="AI19" s="543">
        <f t="shared" si="7"/>
        <v>67000</v>
      </c>
      <c r="AJ19" s="543">
        <f t="shared" si="7"/>
        <v>67000</v>
      </c>
      <c r="AK19" s="543">
        <f t="shared" si="7"/>
        <v>67000</v>
      </c>
      <c r="AL19" s="543">
        <f t="shared" si="7"/>
        <v>67000</v>
      </c>
      <c r="AM19" s="543">
        <f t="shared" si="7"/>
        <v>67000</v>
      </c>
      <c r="AN19" s="543">
        <f t="shared" si="7"/>
        <v>67000</v>
      </c>
      <c r="AO19" s="543">
        <f t="shared" si="7"/>
        <v>67000</v>
      </c>
      <c r="AP19" s="543">
        <f t="shared" si="7"/>
        <v>67000</v>
      </c>
      <c r="AQ19" s="543">
        <f t="shared" si="7"/>
        <v>67000</v>
      </c>
      <c r="AR19" s="543">
        <f t="shared" si="7"/>
        <v>67000</v>
      </c>
      <c r="AS19" s="543">
        <f t="shared" si="7"/>
        <v>67000</v>
      </c>
      <c r="AT19" s="543">
        <f t="shared" si="7"/>
        <v>67000</v>
      </c>
      <c r="AU19" s="543">
        <f t="shared" si="7"/>
        <v>67000</v>
      </c>
      <c r="AV19" s="543">
        <f t="shared" si="8"/>
        <v>67000</v>
      </c>
      <c r="AW19" s="543">
        <f t="shared" si="8"/>
        <v>67000</v>
      </c>
      <c r="AX19" s="543">
        <f t="shared" si="8"/>
        <v>67000</v>
      </c>
      <c r="AY19" s="543">
        <f t="shared" si="8"/>
        <v>67000</v>
      </c>
      <c r="AZ19" s="543">
        <f t="shared" si="8"/>
        <v>67000</v>
      </c>
      <c r="BA19" s="543">
        <f t="shared" si="8"/>
        <v>67000</v>
      </c>
      <c r="BB19" s="543">
        <f t="shared" si="8"/>
        <v>67000</v>
      </c>
      <c r="BC19" s="543">
        <f t="shared" si="8"/>
        <v>67000</v>
      </c>
      <c r="BD19" s="543">
        <f t="shared" si="8"/>
        <v>67000</v>
      </c>
      <c r="BE19" s="543">
        <f t="shared" si="8"/>
        <v>67000</v>
      </c>
      <c r="BF19" s="543">
        <f t="shared" si="8"/>
        <v>67000</v>
      </c>
      <c r="BG19" s="543">
        <f t="shared" si="8"/>
        <v>67000</v>
      </c>
      <c r="BH19" s="543">
        <f t="shared" si="8"/>
        <v>67000</v>
      </c>
      <c r="BI19" s="543">
        <f t="shared" si="8"/>
        <v>67000</v>
      </c>
    </row>
    <row r="20" spans="1:61">
      <c r="A20" s="8" t="s">
        <v>398</v>
      </c>
      <c r="B20" s="129" t="s">
        <v>393</v>
      </c>
      <c r="C20" s="90"/>
      <c r="D20" s="90"/>
      <c r="E20" s="90"/>
      <c r="F20" s="90"/>
      <c r="G20" s="90"/>
      <c r="H20" s="90"/>
      <c r="I20" s="90"/>
      <c r="J20" s="90"/>
      <c r="K20" s="90"/>
      <c r="L20" s="90"/>
      <c r="M20" s="560"/>
      <c r="N20" s="92">
        <v>60000</v>
      </c>
      <c r="O20" s="549">
        <f t="shared" si="9"/>
        <v>59280</v>
      </c>
      <c r="P20" s="543">
        <f t="shared" si="5"/>
        <v>58983.6</v>
      </c>
      <c r="Q20" s="543">
        <f t="shared" si="5"/>
        <v>58747.6656</v>
      </c>
      <c r="R20" s="543">
        <f t="shared" si="5"/>
        <v>59100.1515936</v>
      </c>
      <c r="S20" s="543">
        <f t="shared" si="5"/>
        <v>60695.855686627205</v>
      </c>
      <c r="T20" s="599">
        <f t="shared" si="5"/>
        <v>62820.210635659154</v>
      </c>
      <c r="U20" s="599">
        <f t="shared" si="5"/>
        <v>64453.536112186295</v>
      </c>
      <c r="V20" s="601">
        <f t="shared" si="10"/>
        <v>67000</v>
      </c>
      <c r="W20" s="600">
        <f t="shared" si="6"/>
        <v>67000</v>
      </c>
      <c r="X20" s="543">
        <f t="shared" si="5"/>
        <v>67000</v>
      </c>
      <c r="Y20" s="543">
        <f t="shared" si="5"/>
        <v>67000</v>
      </c>
      <c r="Z20" s="543">
        <f t="shared" si="5"/>
        <v>67000</v>
      </c>
      <c r="AA20" s="543">
        <f t="shared" si="5"/>
        <v>67000</v>
      </c>
      <c r="AB20" s="543">
        <f t="shared" si="5"/>
        <v>67000</v>
      </c>
      <c r="AC20" s="543">
        <f t="shared" si="5"/>
        <v>67000</v>
      </c>
      <c r="AD20" s="543">
        <f t="shared" si="5"/>
        <v>67000</v>
      </c>
      <c r="AE20" s="543">
        <f t="shared" si="5"/>
        <v>67000</v>
      </c>
      <c r="AF20" s="543">
        <f t="shared" si="7"/>
        <v>67000</v>
      </c>
      <c r="AG20" s="543">
        <f t="shared" si="7"/>
        <v>67000</v>
      </c>
      <c r="AH20" s="543">
        <f t="shared" si="7"/>
        <v>67000</v>
      </c>
      <c r="AI20" s="543">
        <f t="shared" si="7"/>
        <v>67000</v>
      </c>
      <c r="AJ20" s="543">
        <f t="shared" si="7"/>
        <v>67000</v>
      </c>
      <c r="AK20" s="543">
        <f t="shared" si="7"/>
        <v>67000</v>
      </c>
      <c r="AL20" s="543">
        <f t="shared" si="7"/>
        <v>67000</v>
      </c>
      <c r="AM20" s="543">
        <f t="shared" si="7"/>
        <v>67000</v>
      </c>
      <c r="AN20" s="543">
        <f t="shared" si="7"/>
        <v>67000</v>
      </c>
      <c r="AO20" s="543">
        <f t="shared" si="7"/>
        <v>67000</v>
      </c>
      <c r="AP20" s="543">
        <f t="shared" si="7"/>
        <v>67000</v>
      </c>
      <c r="AQ20" s="543">
        <f t="shared" si="7"/>
        <v>67000</v>
      </c>
      <c r="AR20" s="543">
        <f t="shared" si="7"/>
        <v>67000</v>
      </c>
      <c r="AS20" s="543">
        <f t="shared" si="7"/>
        <v>67000</v>
      </c>
      <c r="AT20" s="543">
        <f t="shared" si="7"/>
        <v>67000</v>
      </c>
      <c r="AU20" s="543">
        <f t="shared" si="7"/>
        <v>67000</v>
      </c>
      <c r="AV20" s="543">
        <f t="shared" si="8"/>
        <v>67000</v>
      </c>
      <c r="AW20" s="543">
        <f t="shared" si="8"/>
        <v>67000</v>
      </c>
      <c r="AX20" s="543">
        <f t="shared" si="8"/>
        <v>67000</v>
      </c>
      <c r="AY20" s="543">
        <f t="shared" si="8"/>
        <v>67000</v>
      </c>
      <c r="AZ20" s="543">
        <f t="shared" si="8"/>
        <v>67000</v>
      </c>
      <c r="BA20" s="543">
        <f t="shared" si="8"/>
        <v>67000</v>
      </c>
      <c r="BB20" s="543">
        <f t="shared" si="8"/>
        <v>67000</v>
      </c>
      <c r="BC20" s="543">
        <f t="shared" si="8"/>
        <v>67000</v>
      </c>
      <c r="BD20" s="543">
        <f t="shared" si="8"/>
        <v>67000</v>
      </c>
      <c r="BE20" s="543">
        <f t="shared" si="8"/>
        <v>67000</v>
      </c>
      <c r="BF20" s="543">
        <f t="shared" si="8"/>
        <v>67000</v>
      </c>
      <c r="BG20" s="543">
        <f t="shared" si="8"/>
        <v>67000</v>
      </c>
      <c r="BH20" s="543">
        <f t="shared" si="8"/>
        <v>67000</v>
      </c>
      <c r="BI20" s="543">
        <f t="shared" si="8"/>
        <v>67000</v>
      </c>
    </row>
    <row r="21" spans="1:61">
      <c r="A21" s="550" t="s">
        <v>873</v>
      </c>
    </row>
    <row r="22" spans="1:61"/>
    <row r="23" spans="1:61"/>
    <row r="24" spans="1:61"/>
    <row r="25" spans="1:61"/>
    <row r="26" spans="1:61"/>
    <row r="27" spans="1:61" s="694" customFormat="1"/>
    <row r="28" spans="1:61" s="694" customFormat="1"/>
    <row r="29" spans="1:61" s="694" customFormat="1"/>
    <row r="30" spans="1:61" s="694" customFormat="1"/>
    <row r="31" spans="1:61" s="694" customFormat="1"/>
    <row r="32" spans="1:61" s="694" customFormat="1"/>
    <row r="33" spans="1:61"/>
    <row r="34" spans="1:61"/>
    <row r="35" spans="1:61">
      <c r="A35" s="206" t="s">
        <v>509</v>
      </c>
    </row>
    <row r="36" spans="1:61"/>
    <row r="37" spans="1:61">
      <c r="A37" s="718" t="s">
        <v>391</v>
      </c>
      <c r="B37" s="685" t="s">
        <v>328</v>
      </c>
      <c r="C37" s="671"/>
      <c r="D37" s="671"/>
      <c r="E37" s="671"/>
      <c r="F37" s="671"/>
      <c r="G37" s="671"/>
      <c r="H37" s="671"/>
      <c r="I37" s="671"/>
      <c r="J37" s="671"/>
      <c r="K37" s="671"/>
      <c r="L37" s="671"/>
      <c r="M37" s="674"/>
      <c r="N37" s="6"/>
      <c r="O37" s="6"/>
      <c r="P37" s="6"/>
      <c r="Q37" s="6"/>
      <c r="R37" s="6"/>
      <c r="S37" s="6"/>
      <c r="T37" s="6">
        <v>2020</v>
      </c>
      <c r="U37" s="6">
        <f>T37+1</f>
        <v>2021</v>
      </c>
      <c r="V37" s="6">
        <f t="shared" ref="V37:AK37" si="11">U37+1</f>
        <v>2022</v>
      </c>
      <c r="W37" s="6">
        <f t="shared" si="11"/>
        <v>2023</v>
      </c>
      <c r="X37" s="6">
        <f t="shared" si="11"/>
        <v>2024</v>
      </c>
      <c r="Y37" s="6">
        <f t="shared" si="11"/>
        <v>2025</v>
      </c>
      <c r="Z37" s="6">
        <f t="shared" si="11"/>
        <v>2026</v>
      </c>
      <c r="AA37" s="6">
        <f t="shared" si="11"/>
        <v>2027</v>
      </c>
      <c r="AB37" s="6">
        <f t="shared" si="11"/>
        <v>2028</v>
      </c>
      <c r="AC37" s="6">
        <f t="shared" si="11"/>
        <v>2029</v>
      </c>
      <c r="AD37" s="6">
        <f t="shared" si="11"/>
        <v>2030</v>
      </c>
      <c r="AE37" s="6">
        <f t="shared" si="11"/>
        <v>2031</v>
      </c>
      <c r="AF37" s="6">
        <f t="shared" si="11"/>
        <v>2032</v>
      </c>
      <c r="AG37" s="6">
        <f t="shared" si="11"/>
        <v>2033</v>
      </c>
      <c r="AH37" s="6">
        <f t="shared" si="11"/>
        <v>2034</v>
      </c>
      <c r="AI37" s="6">
        <f t="shared" si="11"/>
        <v>2035</v>
      </c>
      <c r="AJ37" s="6">
        <f t="shared" si="11"/>
        <v>2036</v>
      </c>
      <c r="AK37" s="6">
        <f t="shared" si="11"/>
        <v>2037</v>
      </c>
      <c r="AL37" s="6">
        <f t="shared" ref="AL37:BA37" si="12">AK37+1</f>
        <v>2038</v>
      </c>
      <c r="AM37" s="6">
        <f t="shared" si="12"/>
        <v>2039</v>
      </c>
      <c r="AN37" s="6">
        <f t="shared" si="12"/>
        <v>2040</v>
      </c>
      <c r="AO37" s="6">
        <f t="shared" si="12"/>
        <v>2041</v>
      </c>
      <c r="AP37" s="6">
        <f t="shared" si="12"/>
        <v>2042</v>
      </c>
      <c r="AQ37" s="6">
        <f t="shared" si="12"/>
        <v>2043</v>
      </c>
      <c r="AR37" s="6">
        <f t="shared" si="12"/>
        <v>2044</v>
      </c>
      <c r="AS37" s="6">
        <f t="shared" si="12"/>
        <v>2045</v>
      </c>
      <c r="AT37" s="6">
        <f t="shared" si="12"/>
        <v>2046</v>
      </c>
      <c r="AU37" s="6">
        <f t="shared" si="12"/>
        <v>2047</v>
      </c>
      <c r="AV37" s="6">
        <f t="shared" si="12"/>
        <v>2048</v>
      </c>
      <c r="AW37" s="6">
        <f t="shared" si="12"/>
        <v>2049</v>
      </c>
      <c r="AX37" s="6">
        <f t="shared" si="12"/>
        <v>2050</v>
      </c>
      <c r="AY37" s="6">
        <f t="shared" si="12"/>
        <v>2051</v>
      </c>
      <c r="AZ37" s="6">
        <f t="shared" si="12"/>
        <v>2052</v>
      </c>
      <c r="BA37" s="6">
        <f t="shared" si="12"/>
        <v>2053</v>
      </c>
      <c r="BB37" s="6">
        <f t="shared" ref="BB37:BI37" si="13">BA37+1</f>
        <v>2054</v>
      </c>
      <c r="BC37" s="6">
        <f t="shared" si="13"/>
        <v>2055</v>
      </c>
      <c r="BD37" s="6">
        <f t="shared" si="13"/>
        <v>2056</v>
      </c>
      <c r="BE37" s="6">
        <f t="shared" si="13"/>
        <v>2057</v>
      </c>
      <c r="BF37" s="6">
        <f t="shared" si="13"/>
        <v>2058</v>
      </c>
      <c r="BG37" s="6">
        <f t="shared" si="13"/>
        <v>2059</v>
      </c>
      <c r="BH37" s="6">
        <f t="shared" si="13"/>
        <v>2060</v>
      </c>
      <c r="BI37" s="6">
        <f t="shared" si="13"/>
        <v>2061</v>
      </c>
    </row>
    <row r="38" spans="1:61">
      <c r="A38" s="719"/>
      <c r="B38" s="686" t="s">
        <v>530</v>
      </c>
      <c r="C38" s="669"/>
      <c r="D38" s="669"/>
      <c r="E38" s="669"/>
      <c r="F38" s="669"/>
      <c r="G38" s="669"/>
      <c r="H38" s="669"/>
      <c r="I38" s="669"/>
      <c r="J38" s="669"/>
      <c r="K38" s="669"/>
      <c r="L38" s="669"/>
      <c r="M38" s="687"/>
      <c r="N38" s="683">
        <f>DATE(2013,12,31)</f>
        <v>41639</v>
      </c>
      <c r="O38" s="683">
        <f>DATE(YEAR(N38+1),12,31)</f>
        <v>42004</v>
      </c>
      <c r="P38" s="683">
        <f t="shared" ref="P38:BI38" si="14">DATE(YEAR(O38+1),12,31)</f>
        <v>42369</v>
      </c>
      <c r="Q38" s="683">
        <f t="shared" si="14"/>
        <v>42735</v>
      </c>
      <c r="R38" s="683">
        <f t="shared" si="14"/>
        <v>43100</v>
      </c>
      <c r="S38" s="683">
        <f t="shared" si="14"/>
        <v>43465</v>
      </c>
      <c r="T38" s="683">
        <f t="shared" si="14"/>
        <v>43830</v>
      </c>
      <c r="U38" s="683">
        <f t="shared" si="14"/>
        <v>44196</v>
      </c>
      <c r="V38" s="683">
        <f t="shared" si="14"/>
        <v>44561</v>
      </c>
      <c r="W38" s="683">
        <f t="shared" si="14"/>
        <v>44926</v>
      </c>
      <c r="X38" s="683">
        <f t="shared" si="14"/>
        <v>45291</v>
      </c>
      <c r="Y38" s="683">
        <f t="shared" si="14"/>
        <v>45657</v>
      </c>
      <c r="Z38" s="683">
        <f t="shared" si="14"/>
        <v>46022</v>
      </c>
      <c r="AA38" s="683">
        <f t="shared" si="14"/>
        <v>46387</v>
      </c>
      <c r="AB38" s="683">
        <f t="shared" si="14"/>
        <v>46752</v>
      </c>
      <c r="AC38" s="683">
        <f t="shared" si="14"/>
        <v>47118</v>
      </c>
      <c r="AD38" s="683">
        <f t="shared" si="14"/>
        <v>47483</v>
      </c>
      <c r="AE38" s="683">
        <f t="shared" si="14"/>
        <v>47848</v>
      </c>
      <c r="AF38" s="683">
        <f t="shared" si="14"/>
        <v>48213</v>
      </c>
      <c r="AG38" s="683">
        <f t="shared" si="14"/>
        <v>48579</v>
      </c>
      <c r="AH38" s="683">
        <f t="shared" si="14"/>
        <v>48944</v>
      </c>
      <c r="AI38" s="683">
        <f t="shared" si="14"/>
        <v>49309</v>
      </c>
      <c r="AJ38" s="683">
        <f t="shared" si="14"/>
        <v>49674</v>
      </c>
      <c r="AK38" s="683">
        <f t="shared" si="14"/>
        <v>50040</v>
      </c>
      <c r="AL38" s="683">
        <f t="shared" si="14"/>
        <v>50405</v>
      </c>
      <c r="AM38" s="683">
        <f t="shared" si="14"/>
        <v>50770</v>
      </c>
      <c r="AN38" s="683">
        <f t="shared" si="14"/>
        <v>51135</v>
      </c>
      <c r="AO38" s="683">
        <f t="shared" si="14"/>
        <v>51501</v>
      </c>
      <c r="AP38" s="683">
        <f t="shared" si="14"/>
        <v>51866</v>
      </c>
      <c r="AQ38" s="683">
        <f t="shared" si="14"/>
        <v>52231</v>
      </c>
      <c r="AR38" s="683">
        <f t="shared" si="14"/>
        <v>52596</v>
      </c>
      <c r="AS38" s="683">
        <f t="shared" si="14"/>
        <v>52962</v>
      </c>
      <c r="AT38" s="683">
        <f t="shared" si="14"/>
        <v>53327</v>
      </c>
      <c r="AU38" s="683">
        <f t="shared" si="14"/>
        <v>53692</v>
      </c>
      <c r="AV38" s="683">
        <f t="shared" si="14"/>
        <v>54057</v>
      </c>
      <c r="AW38" s="683">
        <f t="shared" si="14"/>
        <v>54423</v>
      </c>
      <c r="AX38" s="683">
        <f t="shared" si="14"/>
        <v>54788</v>
      </c>
      <c r="AY38" s="683">
        <f t="shared" si="14"/>
        <v>55153</v>
      </c>
      <c r="AZ38" s="683">
        <f t="shared" si="14"/>
        <v>55518</v>
      </c>
      <c r="BA38" s="683">
        <f t="shared" si="14"/>
        <v>55884</v>
      </c>
      <c r="BB38" s="683">
        <f t="shared" si="14"/>
        <v>56249</v>
      </c>
      <c r="BC38" s="683">
        <f t="shared" si="14"/>
        <v>56614</v>
      </c>
      <c r="BD38" s="683">
        <f t="shared" si="14"/>
        <v>56979</v>
      </c>
      <c r="BE38" s="683">
        <f t="shared" si="14"/>
        <v>57345</v>
      </c>
      <c r="BF38" s="683">
        <f t="shared" si="14"/>
        <v>57710</v>
      </c>
      <c r="BG38" s="683">
        <f t="shared" si="14"/>
        <v>58075</v>
      </c>
      <c r="BH38" s="683">
        <f t="shared" si="14"/>
        <v>58440</v>
      </c>
      <c r="BI38" s="683">
        <f t="shared" si="14"/>
        <v>58806</v>
      </c>
    </row>
    <row r="39" spans="1:61">
      <c r="A39" s="8" t="s">
        <v>392</v>
      </c>
      <c r="B39" s="129" t="s">
        <v>393</v>
      </c>
      <c r="C39" s="90"/>
      <c r="D39" s="90"/>
      <c r="E39" s="90"/>
      <c r="F39" s="90"/>
      <c r="G39" s="90"/>
      <c r="H39" s="90"/>
      <c r="I39" s="90"/>
      <c r="J39" s="90"/>
      <c r="K39" s="90"/>
      <c r="L39" s="90"/>
      <c r="M39" s="560"/>
      <c r="N39" s="92">
        <v>1400000</v>
      </c>
      <c r="O39" s="549">
        <f>N39*O$6</f>
        <v>1383200</v>
      </c>
      <c r="P39" s="543">
        <f t="shared" ref="P39:AE44" si="15">O39*P$6</f>
        <v>1376284</v>
      </c>
      <c r="Q39" s="543">
        <f t="shared" si="15"/>
        <v>1370778.8640000001</v>
      </c>
      <c r="R39" s="543">
        <f t="shared" si="15"/>
        <v>1379003.537184</v>
      </c>
      <c r="S39" s="543">
        <f t="shared" si="15"/>
        <v>1416236.6326879682</v>
      </c>
      <c r="T39" s="543">
        <f t="shared" si="15"/>
        <v>1465804.914832047</v>
      </c>
      <c r="U39" s="543">
        <f t="shared" si="15"/>
        <v>1503915.8426176803</v>
      </c>
      <c r="V39" s="601">
        <f>ROUND(U39*V$6,-(LEN(ROUND(U39*V$6,0))-2))</f>
        <v>1600000</v>
      </c>
      <c r="W39" s="543">
        <f t="shared" ref="W39:W44" si="16">V39*W$6</f>
        <v>1600000</v>
      </c>
      <c r="X39" s="543">
        <f t="shared" si="15"/>
        <v>1600000</v>
      </c>
      <c r="Y39" s="543">
        <f t="shared" si="15"/>
        <v>1600000</v>
      </c>
      <c r="Z39" s="543">
        <f t="shared" si="15"/>
        <v>1600000</v>
      </c>
      <c r="AA39" s="543">
        <f t="shared" si="15"/>
        <v>1600000</v>
      </c>
      <c r="AB39" s="543">
        <f t="shared" si="15"/>
        <v>1600000</v>
      </c>
      <c r="AC39" s="543">
        <f t="shared" si="15"/>
        <v>1600000</v>
      </c>
      <c r="AD39" s="543">
        <f t="shared" si="15"/>
        <v>1600000</v>
      </c>
      <c r="AE39" s="543">
        <f t="shared" si="15"/>
        <v>1600000</v>
      </c>
      <c r="AF39" s="543">
        <f t="shared" ref="AF39:AU44" si="17">AE39*AF$6</f>
        <v>1600000</v>
      </c>
      <c r="AG39" s="543">
        <f t="shared" si="17"/>
        <v>1600000</v>
      </c>
      <c r="AH39" s="543">
        <f t="shared" si="17"/>
        <v>1600000</v>
      </c>
      <c r="AI39" s="543">
        <f t="shared" si="17"/>
        <v>1600000</v>
      </c>
      <c r="AJ39" s="543">
        <f t="shared" si="17"/>
        <v>1600000</v>
      </c>
      <c r="AK39" s="543">
        <f t="shared" si="17"/>
        <v>1600000</v>
      </c>
      <c r="AL39" s="543">
        <f t="shared" si="17"/>
        <v>1600000</v>
      </c>
      <c r="AM39" s="543">
        <f t="shared" si="17"/>
        <v>1600000</v>
      </c>
      <c r="AN39" s="543">
        <f t="shared" si="17"/>
        <v>1600000</v>
      </c>
      <c r="AO39" s="543">
        <f t="shared" si="17"/>
        <v>1600000</v>
      </c>
      <c r="AP39" s="543">
        <f t="shared" si="17"/>
        <v>1600000</v>
      </c>
      <c r="AQ39" s="543">
        <f t="shared" si="17"/>
        <v>1600000</v>
      </c>
      <c r="AR39" s="543">
        <f t="shared" si="17"/>
        <v>1600000</v>
      </c>
      <c r="AS39" s="543">
        <f t="shared" si="17"/>
        <v>1600000</v>
      </c>
      <c r="AT39" s="543">
        <f t="shared" si="17"/>
        <v>1600000</v>
      </c>
      <c r="AU39" s="543">
        <f t="shared" si="17"/>
        <v>1600000</v>
      </c>
      <c r="AV39" s="543">
        <f t="shared" ref="AV39:BI44" si="18">AU39*AV$6</f>
        <v>1600000</v>
      </c>
      <c r="AW39" s="543">
        <f t="shared" si="18"/>
        <v>1600000</v>
      </c>
      <c r="AX39" s="543">
        <f t="shared" si="18"/>
        <v>1600000</v>
      </c>
      <c r="AY39" s="543">
        <f t="shared" si="18"/>
        <v>1600000</v>
      </c>
      <c r="AZ39" s="543">
        <f t="shared" si="18"/>
        <v>1600000</v>
      </c>
      <c r="BA39" s="543">
        <f t="shared" si="18"/>
        <v>1600000</v>
      </c>
      <c r="BB39" s="543">
        <f t="shared" si="18"/>
        <v>1600000</v>
      </c>
      <c r="BC39" s="543">
        <f t="shared" si="18"/>
        <v>1600000</v>
      </c>
      <c r="BD39" s="543">
        <f t="shared" si="18"/>
        <v>1600000</v>
      </c>
      <c r="BE39" s="543">
        <f t="shared" si="18"/>
        <v>1600000</v>
      </c>
      <c r="BF39" s="543">
        <f t="shared" si="18"/>
        <v>1600000</v>
      </c>
      <c r="BG39" s="543">
        <f t="shared" si="18"/>
        <v>1600000</v>
      </c>
      <c r="BH39" s="543">
        <f t="shared" si="18"/>
        <v>1600000</v>
      </c>
      <c r="BI39" s="543">
        <f t="shared" si="18"/>
        <v>1600000</v>
      </c>
    </row>
    <row r="40" spans="1:61">
      <c r="A40" s="8" t="s">
        <v>394</v>
      </c>
      <c r="B40" s="129" t="s">
        <v>393</v>
      </c>
      <c r="C40" s="90"/>
      <c r="D40" s="90"/>
      <c r="E40" s="90"/>
      <c r="F40" s="90"/>
      <c r="G40" s="90"/>
      <c r="H40" s="90"/>
      <c r="I40" s="90"/>
      <c r="J40" s="90"/>
      <c r="K40" s="90"/>
      <c r="L40" s="90"/>
      <c r="M40" s="560"/>
      <c r="N40" s="92">
        <v>1000000</v>
      </c>
      <c r="O40" s="549">
        <f t="shared" ref="O40:O44" si="19">N40*O$6</f>
        <v>988000</v>
      </c>
      <c r="P40" s="543">
        <f t="shared" si="15"/>
        <v>983060</v>
      </c>
      <c r="Q40" s="543">
        <f t="shared" si="15"/>
        <v>979127.76</v>
      </c>
      <c r="R40" s="543">
        <f t="shared" si="15"/>
        <v>985002.52656000003</v>
      </c>
      <c r="S40" s="543">
        <f t="shared" si="15"/>
        <v>1011597.5947771202</v>
      </c>
      <c r="T40" s="543">
        <f t="shared" si="15"/>
        <v>1047003.5105943193</v>
      </c>
      <c r="U40" s="543">
        <f t="shared" si="15"/>
        <v>1074225.6018697717</v>
      </c>
      <c r="V40" s="601">
        <f t="shared" ref="V40:V44" si="20">ROUND(U40*V$6,-(LEN(ROUND(U40*V$6,0))-2))</f>
        <v>1100000</v>
      </c>
      <c r="W40" s="543">
        <f t="shared" si="16"/>
        <v>1100000</v>
      </c>
      <c r="X40" s="543">
        <f t="shared" si="15"/>
        <v>1100000</v>
      </c>
      <c r="Y40" s="543">
        <f t="shared" si="15"/>
        <v>1100000</v>
      </c>
      <c r="Z40" s="543">
        <f t="shared" si="15"/>
        <v>1100000</v>
      </c>
      <c r="AA40" s="543">
        <f t="shared" si="15"/>
        <v>1100000</v>
      </c>
      <c r="AB40" s="543">
        <f t="shared" si="15"/>
        <v>1100000</v>
      </c>
      <c r="AC40" s="543">
        <f t="shared" si="15"/>
        <v>1100000</v>
      </c>
      <c r="AD40" s="543">
        <f t="shared" si="15"/>
        <v>1100000</v>
      </c>
      <c r="AE40" s="543">
        <f t="shared" si="15"/>
        <v>1100000</v>
      </c>
      <c r="AF40" s="543">
        <f t="shared" si="17"/>
        <v>1100000</v>
      </c>
      <c r="AG40" s="543">
        <f t="shared" si="17"/>
        <v>1100000</v>
      </c>
      <c r="AH40" s="543">
        <f t="shared" si="17"/>
        <v>1100000</v>
      </c>
      <c r="AI40" s="543">
        <f t="shared" si="17"/>
        <v>1100000</v>
      </c>
      <c r="AJ40" s="543">
        <f t="shared" si="17"/>
        <v>1100000</v>
      </c>
      <c r="AK40" s="543">
        <f t="shared" si="17"/>
        <v>1100000</v>
      </c>
      <c r="AL40" s="543">
        <f t="shared" si="17"/>
        <v>1100000</v>
      </c>
      <c r="AM40" s="543">
        <f t="shared" si="17"/>
        <v>1100000</v>
      </c>
      <c r="AN40" s="543">
        <f t="shared" si="17"/>
        <v>1100000</v>
      </c>
      <c r="AO40" s="543">
        <f t="shared" si="17"/>
        <v>1100000</v>
      </c>
      <c r="AP40" s="543">
        <f t="shared" si="17"/>
        <v>1100000</v>
      </c>
      <c r="AQ40" s="543">
        <f t="shared" si="17"/>
        <v>1100000</v>
      </c>
      <c r="AR40" s="543">
        <f t="shared" si="17"/>
        <v>1100000</v>
      </c>
      <c r="AS40" s="543">
        <f t="shared" si="17"/>
        <v>1100000</v>
      </c>
      <c r="AT40" s="543">
        <f t="shared" si="17"/>
        <v>1100000</v>
      </c>
      <c r="AU40" s="543">
        <f t="shared" si="17"/>
        <v>1100000</v>
      </c>
      <c r="AV40" s="543">
        <f t="shared" si="18"/>
        <v>1100000</v>
      </c>
      <c r="AW40" s="543">
        <f t="shared" si="18"/>
        <v>1100000</v>
      </c>
      <c r="AX40" s="543">
        <f t="shared" si="18"/>
        <v>1100000</v>
      </c>
      <c r="AY40" s="543">
        <f t="shared" si="18"/>
        <v>1100000</v>
      </c>
      <c r="AZ40" s="543">
        <f t="shared" si="18"/>
        <v>1100000</v>
      </c>
      <c r="BA40" s="543">
        <f t="shared" si="18"/>
        <v>1100000</v>
      </c>
      <c r="BB40" s="543">
        <f t="shared" si="18"/>
        <v>1100000</v>
      </c>
      <c r="BC40" s="543">
        <f t="shared" si="18"/>
        <v>1100000</v>
      </c>
      <c r="BD40" s="543">
        <f t="shared" si="18"/>
        <v>1100000</v>
      </c>
      <c r="BE40" s="543">
        <f t="shared" si="18"/>
        <v>1100000</v>
      </c>
      <c r="BF40" s="543">
        <f t="shared" si="18"/>
        <v>1100000</v>
      </c>
      <c r="BG40" s="543">
        <f t="shared" si="18"/>
        <v>1100000</v>
      </c>
      <c r="BH40" s="543">
        <f t="shared" si="18"/>
        <v>1100000</v>
      </c>
      <c r="BI40" s="543">
        <f t="shared" si="18"/>
        <v>1100000</v>
      </c>
    </row>
    <row r="41" spans="1:61">
      <c r="A41" s="8" t="s">
        <v>395</v>
      </c>
      <c r="B41" s="129" t="s">
        <v>393</v>
      </c>
      <c r="C41" s="90"/>
      <c r="D41" s="90"/>
      <c r="E41" s="90"/>
      <c r="F41" s="90"/>
      <c r="G41" s="90"/>
      <c r="H41" s="90"/>
      <c r="I41" s="90"/>
      <c r="J41" s="90"/>
      <c r="K41" s="90"/>
      <c r="L41" s="90"/>
      <c r="M41" s="560"/>
      <c r="N41" s="92">
        <v>800000</v>
      </c>
      <c r="O41" s="549">
        <f t="shared" si="19"/>
        <v>790400</v>
      </c>
      <c r="P41" s="543">
        <f t="shared" si="15"/>
        <v>786448</v>
      </c>
      <c r="Q41" s="543">
        <f t="shared" si="15"/>
        <v>783302.20799999998</v>
      </c>
      <c r="R41" s="543">
        <f t="shared" si="15"/>
        <v>788002.02124799998</v>
      </c>
      <c r="S41" s="543">
        <f t="shared" si="15"/>
        <v>809278.07582169608</v>
      </c>
      <c r="T41" s="543">
        <f t="shared" si="15"/>
        <v>837602.80847545539</v>
      </c>
      <c r="U41" s="543">
        <f t="shared" si="15"/>
        <v>859380.48149581719</v>
      </c>
      <c r="V41" s="601">
        <f t="shared" si="20"/>
        <v>900000</v>
      </c>
      <c r="W41" s="543">
        <f t="shared" si="16"/>
        <v>900000</v>
      </c>
      <c r="X41" s="543">
        <f t="shared" si="15"/>
        <v>900000</v>
      </c>
      <c r="Y41" s="543">
        <f t="shared" si="15"/>
        <v>900000</v>
      </c>
      <c r="Z41" s="543">
        <f t="shared" si="15"/>
        <v>900000</v>
      </c>
      <c r="AA41" s="543">
        <f t="shared" si="15"/>
        <v>900000</v>
      </c>
      <c r="AB41" s="543">
        <f t="shared" si="15"/>
        <v>900000</v>
      </c>
      <c r="AC41" s="543">
        <f t="shared" si="15"/>
        <v>900000</v>
      </c>
      <c r="AD41" s="543">
        <f t="shared" si="15"/>
        <v>900000</v>
      </c>
      <c r="AE41" s="543">
        <f t="shared" si="15"/>
        <v>900000</v>
      </c>
      <c r="AF41" s="543">
        <f t="shared" si="17"/>
        <v>900000</v>
      </c>
      <c r="AG41" s="543">
        <f t="shared" si="17"/>
        <v>900000</v>
      </c>
      <c r="AH41" s="543">
        <f t="shared" si="17"/>
        <v>900000</v>
      </c>
      <c r="AI41" s="543">
        <f t="shared" si="17"/>
        <v>900000</v>
      </c>
      <c r="AJ41" s="543">
        <f t="shared" si="17"/>
        <v>900000</v>
      </c>
      <c r="AK41" s="543">
        <f t="shared" si="17"/>
        <v>900000</v>
      </c>
      <c r="AL41" s="543">
        <f t="shared" si="17"/>
        <v>900000</v>
      </c>
      <c r="AM41" s="543">
        <f t="shared" si="17"/>
        <v>900000</v>
      </c>
      <c r="AN41" s="543">
        <f t="shared" si="17"/>
        <v>900000</v>
      </c>
      <c r="AO41" s="543">
        <f t="shared" si="17"/>
        <v>900000</v>
      </c>
      <c r="AP41" s="543">
        <f t="shared" si="17"/>
        <v>900000</v>
      </c>
      <c r="AQ41" s="543">
        <f t="shared" si="17"/>
        <v>900000</v>
      </c>
      <c r="AR41" s="543">
        <f t="shared" si="17"/>
        <v>900000</v>
      </c>
      <c r="AS41" s="543">
        <f t="shared" si="17"/>
        <v>900000</v>
      </c>
      <c r="AT41" s="543">
        <f t="shared" si="17"/>
        <v>900000</v>
      </c>
      <c r="AU41" s="543">
        <f t="shared" si="17"/>
        <v>900000</v>
      </c>
      <c r="AV41" s="543">
        <f t="shared" si="18"/>
        <v>900000</v>
      </c>
      <c r="AW41" s="543">
        <f t="shared" si="18"/>
        <v>900000</v>
      </c>
      <c r="AX41" s="543">
        <f t="shared" si="18"/>
        <v>900000</v>
      </c>
      <c r="AY41" s="543">
        <f t="shared" si="18"/>
        <v>900000</v>
      </c>
      <c r="AZ41" s="543">
        <f t="shared" si="18"/>
        <v>900000</v>
      </c>
      <c r="BA41" s="543">
        <f t="shared" si="18"/>
        <v>900000</v>
      </c>
      <c r="BB41" s="543">
        <f t="shared" si="18"/>
        <v>900000</v>
      </c>
      <c r="BC41" s="543">
        <f t="shared" si="18"/>
        <v>900000</v>
      </c>
      <c r="BD41" s="543">
        <f t="shared" si="18"/>
        <v>900000</v>
      </c>
      <c r="BE41" s="543">
        <f t="shared" si="18"/>
        <v>900000</v>
      </c>
      <c r="BF41" s="543">
        <f t="shared" si="18"/>
        <v>900000</v>
      </c>
      <c r="BG41" s="543">
        <f t="shared" si="18"/>
        <v>900000</v>
      </c>
      <c r="BH41" s="543">
        <f t="shared" si="18"/>
        <v>900000</v>
      </c>
      <c r="BI41" s="543">
        <f t="shared" si="18"/>
        <v>900000</v>
      </c>
    </row>
    <row r="42" spans="1:61">
      <c r="A42" s="8" t="s">
        <v>396</v>
      </c>
      <c r="B42" s="129" t="s">
        <v>393</v>
      </c>
      <c r="C42" s="90"/>
      <c r="D42" s="90"/>
      <c r="E42" s="90"/>
      <c r="F42" s="90"/>
      <c r="G42" s="90"/>
      <c r="H42" s="90"/>
      <c r="I42" s="90"/>
      <c r="J42" s="90"/>
      <c r="K42" s="90"/>
      <c r="L42" s="90"/>
      <c r="M42" s="560"/>
      <c r="N42" s="92">
        <v>1100000</v>
      </c>
      <c r="O42" s="549">
        <f t="shared" si="19"/>
        <v>1086800</v>
      </c>
      <c r="P42" s="543">
        <f t="shared" si="15"/>
        <v>1081366</v>
      </c>
      <c r="Q42" s="543">
        <f t="shared" si="15"/>
        <v>1077040.5360000001</v>
      </c>
      <c r="R42" s="543">
        <f t="shared" si="15"/>
        <v>1083502.7792160001</v>
      </c>
      <c r="S42" s="543">
        <f t="shared" si="15"/>
        <v>1112757.3542548323</v>
      </c>
      <c r="T42" s="543">
        <f t="shared" si="15"/>
        <v>1151703.8616537512</v>
      </c>
      <c r="U42" s="543">
        <f t="shared" si="15"/>
        <v>1181648.1620567488</v>
      </c>
      <c r="V42" s="601">
        <f t="shared" si="20"/>
        <v>1200000</v>
      </c>
      <c r="W42" s="543">
        <f t="shared" si="16"/>
        <v>1200000</v>
      </c>
      <c r="X42" s="543">
        <f t="shared" si="15"/>
        <v>1200000</v>
      </c>
      <c r="Y42" s="543">
        <f t="shared" si="15"/>
        <v>1200000</v>
      </c>
      <c r="Z42" s="543">
        <f t="shared" si="15"/>
        <v>1200000</v>
      </c>
      <c r="AA42" s="543">
        <f t="shared" si="15"/>
        <v>1200000</v>
      </c>
      <c r="AB42" s="543">
        <f t="shared" si="15"/>
        <v>1200000</v>
      </c>
      <c r="AC42" s="543">
        <f t="shared" si="15"/>
        <v>1200000</v>
      </c>
      <c r="AD42" s="543">
        <f t="shared" si="15"/>
        <v>1200000</v>
      </c>
      <c r="AE42" s="543">
        <f t="shared" si="15"/>
        <v>1200000</v>
      </c>
      <c r="AF42" s="543">
        <f t="shared" si="17"/>
        <v>1200000</v>
      </c>
      <c r="AG42" s="543">
        <f t="shared" si="17"/>
        <v>1200000</v>
      </c>
      <c r="AH42" s="543">
        <f t="shared" si="17"/>
        <v>1200000</v>
      </c>
      <c r="AI42" s="543">
        <f t="shared" si="17"/>
        <v>1200000</v>
      </c>
      <c r="AJ42" s="543">
        <f t="shared" si="17"/>
        <v>1200000</v>
      </c>
      <c r="AK42" s="543">
        <f t="shared" si="17"/>
        <v>1200000</v>
      </c>
      <c r="AL42" s="543">
        <f t="shared" si="17"/>
        <v>1200000</v>
      </c>
      <c r="AM42" s="543">
        <f t="shared" si="17"/>
        <v>1200000</v>
      </c>
      <c r="AN42" s="543">
        <f t="shared" si="17"/>
        <v>1200000</v>
      </c>
      <c r="AO42" s="543">
        <f t="shared" si="17"/>
        <v>1200000</v>
      </c>
      <c r="AP42" s="543">
        <f t="shared" si="17"/>
        <v>1200000</v>
      </c>
      <c r="AQ42" s="543">
        <f t="shared" si="17"/>
        <v>1200000</v>
      </c>
      <c r="AR42" s="543">
        <f t="shared" si="17"/>
        <v>1200000</v>
      </c>
      <c r="AS42" s="543">
        <f t="shared" si="17"/>
        <v>1200000</v>
      </c>
      <c r="AT42" s="543">
        <f t="shared" si="17"/>
        <v>1200000</v>
      </c>
      <c r="AU42" s="543">
        <f t="shared" si="17"/>
        <v>1200000</v>
      </c>
      <c r="AV42" s="543">
        <f t="shared" si="18"/>
        <v>1200000</v>
      </c>
      <c r="AW42" s="543">
        <f t="shared" si="18"/>
        <v>1200000</v>
      </c>
      <c r="AX42" s="543">
        <f t="shared" si="18"/>
        <v>1200000</v>
      </c>
      <c r="AY42" s="543">
        <f t="shared" si="18"/>
        <v>1200000</v>
      </c>
      <c r="AZ42" s="543">
        <f t="shared" si="18"/>
        <v>1200000</v>
      </c>
      <c r="BA42" s="543">
        <f t="shared" si="18"/>
        <v>1200000</v>
      </c>
      <c r="BB42" s="543">
        <f t="shared" si="18"/>
        <v>1200000</v>
      </c>
      <c r="BC42" s="543">
        <f t="shared" si="18"/>
        <v>1200000</v>
      </c>
      <c r="BD42" s="543">
        <f t="shared" si="18"/>
        <v>1200000</v>
      </c>
      <c r="BE42" s="543">
        <f t="shared" si="18"/>
        <v>1200000</v>
      </c>
      <c r="BF42" s="543">
        <f t="shared" si="18"/>
        <v>1200000</v>
      </c>
      <c r="BG42" s="543">
        <f t="shared" si="18"/>
        <v>1200000</v>
      </c>
      <c r="BH42" s="543">
        <f t="shared" si="18"/>
        <v>1200000</v>
      </c>
      <c r="BI42" s="543">
        <f t="shared" si="18"/>
        <v>1200000</v>
      </c>
    </row>
    <row r="43" spans="1:61">
      <c r="A43" s="8" t="s">
        <v>397</v>
      </c>
      <c r="B43" s="129" t="s">
        <v>393</v>
      </c>
      <c r="C43" s="90"/>
      <c r="D43" s="90"/>
      <c r="E43" s="90"/>
      <c r="F43" s="90"/>
      <c r="G43" s="90"/>
      <c r="H43" s="90"/>
      <c r="I43" s="90"/>
      <c r="J43" s="90"/>
      <c r="K43" s="90"/>
      <c r="L43" s="90"/>
      <c r="M43" s="560"/>
      <c r="N43" s="92">
        <v>700000</v>
      </c>
      <c r="O43" s="549">
        <f t="shared" si="19"/>
        <v>691600</v>
      </c>
      <c r="P43" s="543">
        <f t="shared" si="15"/>
        <v>688142</v>
      </c>
      <c r="Q43" s="543">
        <f t="shared" si="15"/>
        <v>685389.43200000003</v>
      </c>
      <c r="R43" s="543">
        <f t="shared" si="15"/>
        <v>689501.76859200001</v>
      </c>
      <c r="S43" s="543">
        <f t="shared" si="15"/>
        <v>708118.3163439841</v>
      </c>
      <c r="T43" s="543">
        <f t="shared" si="15"/>
        <v>732902.45741602348</v>
      </c>
      <c r="U43" s="543">
        <f t="shared" si="15"/>
        <v>751957.92130884016</v>
      </c>
      <c r="V43" s="601">
        <f t="shared" si="20"/>
        <v>780000</v>
      </c>
      <c r="W43" s="543">
        <f t="shared" si="16"/>
        <v>780000</v>
      </c>
      <c r="X43" s="543">
        <f t="shared" si="15"/>
        <v>780000</v>
      </c>
      <c r="Y43" s="543">
        <f t="shared" si="15"/>
        <v>780000</v>
      </c>
      <c r="Z43" s="543">
        <f t="shared" si="15"/>
        <v>780000</v>
      </c>
      <c r="AA43" s="543">
        <f t="shared" si="15"/>
        <v>780000</v>
      </c>
      <c r="AB43" s="543">
        <f t="shared" si="15"/>
        <v>780000</v>
      </c>
      <c r="AC43" s="543">
        <f t="shared" si="15"/>
        <v>780000</v>
      </c>
      <c r="AD43" s="543">
        <f t="shared" si="15"/>
        <v>780000</v>
      </c>
      <c r="AE43" s="543">
        <f t="shared" si="15"/>
        <v>780000</v>
      </c>
      <c r="AF43" s="543">
        <f t="shared" si="17"/>
        <v>780000</v>
      </c>
      <c r="AG43" s="543">
        <f t="shared" si="17"/>
        <v>780000</v>
      </c>
      <c r="AH43" s="543">
        <f t="shared" si="17"/>
        <v>780000</v>
      </c>
      <c r="AI43" s="543">
        <f t="shared" si="17"/>
        <v>780000</v>
      </c>
      <c r="AJ43" s="543">
        <f t="shared" si="17"/>
        <v>780000</v>
      </c>
      <c r="AK43" s="543">
        <f t="shared" si="17"/>
        <v>780000</v>
      </c>
      <c r="AL43" s="543">
        <f t="shared" si="17"/>
        <v>780000</v>
      </c>
      <c r="AM43" s="543">
        <f t="shared" si="17"/>
        <v>780000</v>
      </c>
      <c r="AN43" s="543">
        <f t="shared" si="17"/>
        <v>780000</v>
      </c>
      <c r="AO43" s="543">
        <f t="shared" si="17"/>
        <v>780000</v>
      </c>
      <c r="AP43" s="543">
        <f t="shared" si="17"/>
        <v>780000</v>
      </c>
      <c r="AQ43" s="543">
        <f t="shared" si="17"/>
        <v>780000</v>
      </c>
      <c r="AR43" s="543">
        <f t="shared" si="17"/>
        <v>780000</v>
      </c>
      <c r="AS43" s="543">
        <f t="shared" si="17"/>
        <v>780000</v>
      </c>
      <c r="AT43" s="543">
        <f t="shared" si="17"/>
        <v>780000</v>
      </c>
      <c r="AU43" s="543">
        <f t="shared" si="17"/>
        <v>780000</v>
      </c>
      <c r="AV43" s="543">
        <f t="shared" si="18"/>
        <v>780000</v>
      </c>
      <c r="AW43" s="543">
        <f t="shared" si="18"/>
        <v>780000</v>
      </c>
      <c r="AX43" s="543">
        <f t="shared" si="18"/>
        <v>780000</v>
      </c>
      <c r="AY43" s="543">
        <f t="shared" si="18"/>
        <v>780000</v>
      </c>
      <c r="AZ43" s="543">
        <f t="shared" si="18"/>
        <v>780000</v>
      </c>
      <c r="BA43" s="543">
        <f t="shared" si="18"/>
        <v>780000</v>
      </c>
      <c r="BB43" s="543">
        <f t="shared" si="18"/>
        <v>780000</v>
      </c>
      <c r="BC43" s="543">
        <f t="shared" si="18"/>
        <v>780000</v>
      </c>
      <c r="BD43" s="543">
        <f t="shared" si="18"/>
        <v>780000</v>
      </c>
      <c r="BE43" s="543">
        <f t="shared" si="18"/>
        <v>780000</v>
      </c>
      <c r="BF43" s="543">
        <f t="shared" si="18"/>
        <v>780000</v>
      </c>
      <c r="BG43" s="543">
        <f t="shared" si="18"/>
        <v>780000</v>
      </c>
      <c r="BH43" s="543">
        <f t="shared" si="18"/>
        <v>780000</v>
      </c>
      <c r="BI43" s="543">
        <f t="shared" si="18"/>
        <v>780000</v>
      </c>
    </row>
    <row r="44" spans="1:61">
      <c r="A44" s="8" t="s">
        <v>398</v>
      </c>
      <c r="B44" s="129" t="s">
        <v>393</v>
      </c>
      <c r="C44" s="90"/>
      <c r="D44" s="90"/>
      <c r="E44" s="90"/>
      <c r="F44" s="90"/>
      <c r="G44" s="90"/>
      <c r="H44" s="90"/>
      <c r="I44" s="90"/>
      <c r="J44" s="90"/>
      <c r="K44" s="90"/>
      <c r="L44" s="90"/>
      <c r="M44" s="560"/>
      <c r="N44" s="92">
        <v>600000</v>
      </c>
      <c r="O44" s="549">
        <f t="shared" si="19"/>
        <v>592800</v>
      </c>
      <c r="P44" s="543">
        <f t="shared" si="15"/>
        <v>589836</v>
      </c>
      <c r="Q44" s="543">
        <f t="shared" si="15"/>
        <v>587476.65599999996</v>
      </c>
      <c r="R44" s="543">
        <f t="shared" si="15"/>
        <v>591001.51593599992</v>
      </c>
      <c r="S44" s="543">
        <f t="shared" si="15"/>
        <v>606958.556866272</v>
      </c>
      <c r="T44" s="543">
        <f t="shared" si="15"/>
        <v>628202.10635659145</v>
      </c>
      <c r="U44" s="543">
        <f t="shared" si="15"/>
        <v>644535.36112186289</v>
      </c>
      <c r="V44" s="601">
        <f t="shared" si="20"/>
        <v>670000</v>
      </c>
      <c r="W44" s="543">
        <f t="shared" si="16"/>
        <v>670000</v>
      </c>
      <c r="X44" s="543">
        <f t="shared" si="15"/>
        <v>670000</v>
      </c>
      <c r="Y44" s="543">
        <f t="shared" si="15"/>
        <v>670000</v>
      </c>
      <c r="Z44" s="543">
        <f t="shared" si="15"/>
        <v>670000</v>
      </c>
      <c r="AA44" s="543">
        <f t="shared" si="15"/>
        <v>670000</v>
      </c>
      <c r="AB44" s="543">
        <f t="shared" si="15"/>
        <v>670000</v>
      </c>
      <c r="AC44" s="543">
        <f t="shared" si="15"/>
        <v>670000</v>
      </c>
      <c r="AD44" s="543">
        <f t="shared" si="15"/>
        <v>670000</v>
      </c>
      <c r="AE44" s="543">
        <f t="shared" si="15"/>
        <v>670000</v>
      </c>
      <c r="AF44" s="543">
        <f t="shared" si="17"/>
        <v>670000</v>
      </c>
      <c r="AG44" s="543">
        <f t="shared" si="17"/>
        <v>670000</v>
      </c>
      <c r="AH44" s="543">
        <f t="shared" si="17"/>
        <v>670000</v>
      </c>
      <c r="AI44" s="543">
        <f t="shared" si="17"/>
        <v>670000</v>
      </c>
      <c r="AJ44" s="543">
        <f t="shared" si="17"/>
        <v>670000</v>
      </c>
      <c r="AK44" s="543">
        <f t="shared" si="17"/>
        <v>670000</v>
      </c>
      <c r="AL44" s="543">
        <f t="shared" si="17"/>
        <v>670000</v>
      </c>
      <c r="AM44" s="543">
        <f t="shared" si="17"/>
        <v>670000</v>
      </c>
      <c r="AN44" s="543">
        <f t="shared" si="17"/>
        <v>670000</v>
      </c>
      <c r="AO44" s="543">
        <f t="shared" si="17"/>
        <v>670000</v>
      </c>
      <c r="AP44" s="543">
        <f t="shared" si="17"/>
        <v>670000</v>
      </c>
      <c r="AQ44" s="543">
        <f t="shared" si="17"/>
        <v>670000</v>
      </c>
      <c r="AR44" s="543">
        <f t="shared" si="17"/>
        <v>670000</v>
      </c>
      <c r="AS44" s="543">
        <f t="shared" si="17"/>
        <v>670000</v>
      </c>
      <c r="AT44" s="543">
        <f t="shared" si="17"/>
        <v>670000</v>
      </c>
      <c r="AU44" s="543">
        <f t="shared" si="17"/>
        <v>670000</v>
      </c>
      <c r="AV44" s="543">
        <f t="shared" si="18"/>
        <v>670000</v>
      </c>
      <c r="AW44" s="543">
        <f t="shared" si="18"/>
        <v>670000</v>
      </c>
      <c r="AX44" s="543">
        <f t="shared" si="18"/>
        <v>670000</v>
      </c>
      <c r="AY44" s="543">
        <f t="shared" si="18"/>
        <v>670000</v>
      </c>
      <c r="AZ44" s="543">
        <f t="shared" si="18"/>
        <v>670000</v>
      </c>
      <c r="BA44" s="543">
        <f t="shared" si="18"/>
        <v>670000</v>
      </c>
      <c r="BB44" s="543">
        <f t="shared" si="18"/>
        <v>670000</v>
      </c>
      <c r="BC44" s="543">
        <f t="shared" si="18"/>
        <v>670000</v>
      </c>
      <c r="BD44" s="543">
        <f t="shared" si="18"/>
        <v>670000</v>
      </c>
      <c r="BE44" s="543">
        <f t="shared" si="18"/>
        <v>670000</v>
      </c>
      <c r="BF44" s="543">
        <f t="shared" si="18"/>
        <v>670000</v>
      </c>
      <c r="BG44" s="543">
        <f t="shared" si="18"/>
        <v>670000</v>
      </c>
      <c r="BH44" s="543">
        <f t="shared" si="18"/>
        <v>670000</v>
      </c>
      <c r="BI44" s="543">
        <f t="shared" si="18"/>
        <v>670000</v>
      </c>
    </row>
    <row r="45" spans="1:61">
      <c r="A45" s="550" t="s">
        <v>399</v>
      </c>
    </row>
    <row r="46" spans="1:61"/>
    <row r="47" spans="1:61"/>
    <row r="48" spans="1:61"/>
    <row r="49" spans="1:20"/>
    <row r="50" spans="1:20"/>
    <row r="51" spans="1:20"/>
    <row r="52" spans="1:20">
      <c r="A52" s="206" t="s">
        <v>463</v>
      </c>
    </row>
    <row r="53" spans="1:20" hidden="1" outlineLevel="1">
      <c r="A53" s="548" t="s">
        <v>876</v>
      </c>
    </row>
    <row r="54" spans="1:20" hidden="1" outlineLevel="1">
      <c r="A54" s="14" t="s">
        <v>874</v>
      </c>
    </row>
    <row r="55" spans="1:20" hidden="1" outlineLevel="1">
      <c r="A55" s="14" t="s">
        <v>875</v>
      </c>
    </row>
    <row r="56" spans="1:20" hidden="1" outlineLevel="1">
      <c r="A56" s="14" t="s">
        <v>877</v>
      </c>
    </row>
    <row r="57" spans="1:20" hidden="1" outlineLevel="1"/>
    <row r="58" spans="1:20" hidden="1" outlineLevel="1">
      <c r="A58" s="1" t="s">
        <v>461</v>
      </c>
    </row>
    <row r="59" spans="1:20" hidden="1" outlineLevel="1">
      <c r="A59" s="548" t="s">
        <v>464</v>
      </c>
    </row>
    <row r="60" spans="1:20" hidden="1" outlineLevel="1">
      <c r="A60" s="9" t="s">
        <v>451</v>
      </c>
      <c r="B60" s="558"/>
      <c r="C60" s="559"/>
      <c r="D60" s="559"/>
      <c r="E60" s="559"/>
      <c r="F60" s="559"/>
      <c r="G60" s="559"/>
      <c r="H60" s="559"/>
      <c r="I60" s="559"/>
      <c r="J60" s="559"/>
      <c r="K60" s="559"/>
      <c r="L60" s="559"/>
      <c r="M60" s="729" t="s">
        <v>452</v>
      </c>
      <c r="N60" s="858"/>
      <c r="O60"/>
      <c r="P60"/>
      <c r="Q60"/>
      <c r="R60"/>
      <c r="S60"/>
      <c r="T60"/>
    </row>
    <row r="61" spans="1:20" s="574" customFormat="1" hidden="1" outlineLevel="1">
      <c r="A61" s="578" t="s">
        <v>448</v>
      </c>
      <c r="B61" s="129" t="s">
        <v>447</v>
      </c>
      <c r="C61" s="13"/>
      <c r="D61" s="13"/>
      <c r="E61" s="13"/>
      <c r="F61" s="13"/>
      <c r="G61" s="13"/>
      <c r="H61" s="13"/>
      <c r="I61" s="13"/>
      <c r="J61" s="13"/>
      <c r="K61" s="13"/>
      <c r="L61" s="13"/>
      <c r="M61" s="727">
        <v>24626443.969999999</v>
      </c>
      <c r="N61" s="728"/>
      <c r="O61"/>
      <c r="P61"/>
      <c r="Q61"/>
      <c r="R61"/>
      <c r="S61"/>
      <c r="T61"/>
    </row>
    <row r="62" spans="1:20" s="574" customFormat="1" hidden="1" outlineLevel="1">
      <c r="A62" s="578" t="s">
        <v>449</v>
      </c>
      <c r="B62" s="129" t="s">
        <v>447</v>
      </c>
      <c r="C62" s="13"/>
      <c r="D62" s="13"/>
      <c r="E62" s="13"/>
      <c r="F62" s="13"/>
      <c r="G62" s="13"/>
      <c r="H62" s="13"/>
      <c r="I62" s="13"/>
      <c r="J62" s="13"/>
      <c r="K62" s="13"/>
      <c r="L62" s="13"/>
      <c r="M62" s="727">
        <v>22009252.719999999</v>
      </c>
      <c r="N62" s="728"/>
    </row>
    <row r="63" spans="1:20" s="574" customFormat="1" hidden="1" outlineLevel="1">
      <c r="A63" s="578" t="s">
        <v>450</v>
      </c>
      <c r="B63" s="129" t="s">
        <v>447</v>
      </c>
      <c r="C63" s="13"/>
      <c r="D63" s="13"/>
      <c r="E63" s="13"/>
      <c r="F63" s="13"/>
      <c r="G63" s="13"/>
      <c r="H63" s="13"/>
      <c r="I63" s="13"/>
      <c r="J63" s="13"/>
      <c r="K63" s="13"/>
      <c r="L63" s="13"/>
      <c r="M63" s="727">
        <v>25197142.870000001</v>
      </c>
      <c r="N63" s="728"/>
    </row>
    <row r="64" spans="1:20" hidden="1" outlineLevel="1">
      <c r="A64" s="35" t="s">
        <v>878</v>
      </c>
    </row>
    <row r="65" spans="1:17" s="574" customFormat="1" hidden="1" outlineLevel="1"/>
    <row r="66" spans="1:17" s="574" customFormat="1" hidden="1" outlineLevel="1">
      <c r="A66" s="8" t="s">
        <v>455</v>
      </c>
      <c r="B66" s="129"/>
      <c r="C66" s="529"/>
      <c r="D66" s="529"/>
      <c r="E66" s="529"/>
      <c r="F66" s="529"/>
      <c r="G66" s="529"/>
      <c r="H66" s="529"/>
      <c r="I66" s="529"/>
      <c r="J66" s="529"/>
      <c r="K66" s="529"/>
      <c r="L66" s="529"/>
      <c r="M66" s="579">
        <v>0.23</v>
      </c>
      <c r="N66"/>
      <c r="O66"/>
      <c r="P66"/>
      <c r="Q66"/>
    </row>
    <row r="67" spans="1:17" s="574" customFormat="1" hidden="1" outlineLevel="1"/>
    <row r="68" spans="1:17" s="574" customFormat="1" hidden="1" outlineLevel="1">
      <c r="A68" s="9" t="s">
        <v>451</v>
      </c>
      <c r="B68" s="558"/>
      <c r="C68" s="559"/>
      <c r="D68" s="559"/>
      <c r="E68" s="559"/>
      <c r="F68" s="559"/>
      <c r="G68" s="559"/>
      <c r="H68" s="559"/>
      <c r="I68" s="559"/>
      <c r="J68" s="559"/>
      <c r="K68" s="559"/>
      <c r="L68" s="559"/>
      <c r="M68" s="729" t="s">
        <v>454</v>
      </c>
      <c r="N68" s="858"/>
    </row>
    <row r="69" spans="1:17" s="574" customFormat="1" hidden="1" outlineLevel="1">
      <c r="A69" s="578" t="s">
        <v>448</v>
      </c>
      <c r="B69" s="129" t="s">
        <v>447</v>
      </c>
      <c r="C69" s="13"/>
      <c r="D69" s="13"/>
      <c r="E69" s="13"/>
      <c r="F69" s="13"/>
      <c r="G69" s="13"/>
      <c r="H69" s="13"/>
      <c r="I69" s="13"/>
      <c r="J69" s="13"/>
      <c r="K69" s="13"/>
      <c r="L69" s="13"/>
      <c r="M69" s="727">
        <f>M61/(100%+$M$66)</f>
        <v>20021499.162601624</v>
      </c>
      <c r="N69" s="728"/>
    </row>
    <row r="70" spans="1:17" s="574" customFormat="1" hidden="1" outlineLevel="1">
      <c r="A70" s="578" t="s">
        <v>449</v>
      </c>
      <c r="B70" s="129" t="s">
        <v>447</v>
      </c>
      <c r="C70" s="13"/>
      <c r="D70" s="13"/>
      <c r="E70" s="13"/>
      <c r="F70" s="13"/>
      <c r="G70" s="13"/>
      <c r="H70" s="13"/>
      <c r="I70" s="13"/>
      <c r="J70" s="13"/>
      <c r="K70" s="13"/>
      <c r="L70" s="13"/>
      <c r="M70" s="727">
        <f t="shared" ref="M70:M71" si="21">M62/(100%+$M$66)</f>
        <v>17893701.398373984</v>
      </c>
      <c r="N70" s="728"/>
    </row>
    <row r="71" spans="1:17" s="574" customFormat="1" ht="15.75" hidden="1" outlineLevel="1" thickBot="1">
      <c r="A71" s="582" t="s">
        <v>450</v>
      </c>
      <c r="B71" s="583" t="s">
        <v>447</v>
      </c>
      <c r="C71" s="584"/>
      <c r="D71" s="584"/>
      <c r="E71" s="584"/>
      <c r="F71" s="584"/>
      <c r="G71" s="584"/>
      <c r="H71" s="584"/>
      <c r="I71" s="584"/>
      <c r="J71" s="584"/>
      <c r="K71" s="584"/>
      <c r="L71" s="584"/>
      <c r="M71" s="859">
        <f t="shared" si="21"/>
        <v>20485482.008130081</v>
      </c>
      <c r="N71" s="860"/>
    </row>
    <row r="72" spans="1:17" s="574" customFormat="1" ht="30" hidden="1" customHeight="1" outlineLevel="1" thickTop="1">
      <c r="A72" s="585" t="s">
        <v>879</v>
      </c>
      <c r="B72" s="586" t="s">
        <v>447</v>
      </c>
      <c r="C72" s="587"/>
      <c r="D72" s="587"/>
      <c r="E72" s="587"/>
      <c r="F72" s="587"/>
      <c r="G72" s="587"/>
      <c r="H72" s="587"/>
      <c r="I72" s="587"/>
      <c r="J72" s="587"/>
      <c r="K72" s="587"/>
      <c r="L72" s="587"/>
      <c r="M72" s="861">
        <f>SUM(M$69:N71)/M74*M75</f>
        <v>233602730.27642274</v>
      </c>
      <c r="N72" s="862"/>
    </row>
    <row r="73" spans="1:17" s="574" customFormat="1" hidden="1" outlineLevel="1"/>
    <row r="74" spans="1:17" s="574" customFormat="1" hidden="1" outlineLevel="1">
      <c r="A74" s="8" t="s">
        <v>456</v>
      </c>
      <c r="B74" s="129"/>
      <c r="C74" s="580"/>
      <c r="D74" s="580"/>
      <c r="E74" s="580"/>
      <c r="F74" s="580"/>
      <c r="G74" s="580"/>
      <c r="H74" s="580"/>
      <c r="I74" s="580"/>
      <c r="J74" s="580"/>
      <c r="K74" s="580"/>
      <c r="L74" s="580"/>
      <c r="M74" s="581">
        <f>COUNTA(M$69:N71)</f>
        <v>3</v>
      </c>
    </row>
    <row r="75" spans="1:17" s="574" customFormat="1" hidden="1" outlineLevel="1">
      <c r="A75" s="8" t="s">
        <v>457</v>
      </c>
      <c r="B75" s="129"/>
      <c r="C75" s="580"/>
      <c r="D75" s="580"/>
      <c r="E75" s="580"/>
      <c r="F75" s="580"/>
      <c r="G75" s="580"/>
      <c r="H75" s="580"/>
      <c r="I75" s="580"/>
      <c r="J75" s="580"/>
      <c r="K75" s="580"/>
      <c r="L75" s="580"/>
      <c r="M75" s="581">
        <v>12</v>
      </c>
    </row>
    <row r="76" spans="1:17" s="574" customFormat="1" hidden="1" outlineLevel="1"/>
    <row r="77" spans="1:17" s="574" customFormat="1" ht="45" hidden="1" outlineLevel="1">
      <c r="A77" s="8" t="s">
        <v>459</v>
      </c>
      <c r="B77" s="129" t="s">
        <v>458</v>
      </c>
      <c r="C77" s="90"/>
      <c r="D77" s="90"/>
      <c r="E77" s="90"/>
      <c r="F77" s="90"/>
      <c r="G77" s="90"/>
      <c r="H77" s="90"/>
      <c r="I77" s="90"/>
      <c r="J77" s="90"/>
      <c r="K77" s="90"/>
      <c r="L77" s="90"/>
      <c r="M77" s="543">
        <v>3676.7559999999999</v>
      </c>
    </row>
    <row r="78" spans="1:17" s="574" customFormat="1" hidden="1" outlineLevel="1">
      <c r="A78" s="35" t="s">
        <v>460</v>
      </c>
    </row>
    <row r="79" spans="1:17" s="574" customFormat="1" hidden="1" outlineLevel="1"/>
    <row r="80" spans="1:17" s="574" customFormat="1" hidden="1" outlineLevel="1">
      <c r="A80" s="1" t="s">
        <v>880</v>
      </c>
    </row>
    <row r="81" spans="1:61" s="574" customFormat="1" hidden="1" outlineLevel="1">
      <c r="A81" s="9" t="s">
        <v>451</v>
      </c>
      <c r="B81" s="558"/>
      <c r="C81" s="559"/>
      <c r="D81" s="559"/>
      <c r="E81" s="559"/>
      <c r="F81" s="559"/>
      <c r="G81" s="559"/>
      <c r="H81" s="559"/>
      <c r="I81" s="559"/>
      <c r="J81" s="559"/>
      <c r="K81" s="559"/>
      <c r="L81" s="559"/>
      <c r="M81" s="588">
        <v>2021</v>
      </c>
    </row>
    <row r="82" spans="1:61" s="574" customFormat="1" ht="45" hidden="1" outlineLevel="1">
      <c r="A82" s="8" t="s">
        <v>462</v>
      </c>
      <c r="B82" s="129" t="s">
        <v>393</v>
      </c>
      <c r="C82" s="90"/>
      <c r="D82" s="90"/>
      <c r="E82" s="90"/>
      <c r="F82" s="90"/>
      <c r="G82" s="90"/>
      <c r="H82" s="90"/>
      <c r="I82" s="90"/>
      <c r="J82" s="90"/>
      <c r="K82" s="90"/>
      <c r="L82" s="90"/>
      <c r="M82" s="543">
        <f>ROUND(M72/M77,0)</f>
        <v>63535</v>
      </c>
    </row>
    <row r="83" spans="1:61" s="574" customFormat="1" collapsed="1"/>
    <row r="84" spans="1:61">
      <c r="A84" s="206" t="s">
        <v>881</v>
      </c>
    </row>
    <row r="85" spans="1:61">
      <c r="A85" s="718"/>
      <c r="B85" s="685" t="s">
        <v>328</v>
      </c>
      <c r="C85" s="671"/>
      <c r="D85" s="671"/>
      <c r="E85" s="671"/>
      <c r="F85" s="671"/>
      <c r="G85" s="671"/>
      <c r="H85" s="671"/>
      <c r="I85" s="671"/>
      <c r="J85" s="671"/>
      <c r="K85" s="671"/>
      <c r="L85" s="671"/>
      <c r="M85" s="674"/>
      <c r="N85" s="6"/>
      <c r="O85" s="6"/>
      <c r="P85" s="6"/>
      <c r="Q85" s="6"/>
      <c r="R85" s="6"/>
      <c r="S85" s="6"/>
      <c r="T85" s="6"/>
      <c r="U85" s="6">
        <v>2021</v>
      </c>
      <c r="V85" s="6">
        <f t="shared" ref="V85" si="22">U85+1</f>
        <v>2022</v>
      </c>
      <c r="W85" s="6">
        <f t="shared" ref="W85" si="23">V85+1</f>
        <v>2023</v>
      </c>
      <c r="X85" s="6">
        <f t="shared" ref="X85" si="24">W85+1</f>
        <v>2024</v>
      </c>
      <c r="Y85" s="6">
        <f t="shared" ref="Y85" si="25">X85+1</f>
        <v>2025</v>
      </c>
      <c r="Z85" s="6">
        <f t="shared" ref="Z85" si="26">Y85+1</f>
        <v>2026</v>
      </c>
      <c r="AA85" s="6">
        <f t="shared" ref="AA85" si="27">Z85+1</f>
        <v>2027</v>
      </c>
      <c r="AB85" s="6">
        <f t="shared" ref="AB85" si="28">AA85+1</f>
        <v>2028</v>
      </c>
      <c r="AC85" s="6">
        <f t="shared" ref="AC85" si="29">AB85+1</f>
        <v>2029</v>
      </c>
      <c r="AD85" s="6">
        <f t="shared" ref="AD85" si="30">AC85+1</f>
        <v>2030</v>
      </c>
      <c r="AE85" s="6">
        <f t="shared" ref="AE85" si="31">AD85+1</f>
        <v>2031</v>
      </c>
      <c r="AF85" s="6">
        <f t="shared" ref="AF85" si="32">AE85+1</f>
        <v>2032</v>
      </c>
      <c r="AG85" s="6">
        <f t="shared" ref="AG85" si="33">AF85+1</f>
        <v>2033</v>
      </c>
      <c r="AH85" s="6">
        <f t="shared" ref="AH85" si="34">AG85+1</f>
        <v>2034</v>
      </c>
      <c r="AI85" s="6">
        <f t="shared" ref="AI85" si="35">AH85+1</f>
        <v>2035</v>
      </c>
      <c r="AJ85" s="6">
        <f t="shared" ref="AJ85" si="36">AI85+1</f>
        <v>2036</v>
      </c>
      <c r="AK85" s="6">
        <f t="shared" ref="AK85" si="37">AJ85+1</f>
        <v>2037</v>
      </c>
      <c r="AL85" s="6">
        <f t="shared" ref="AL85" si="38">AK85+1</f>
        <v>2038</v>
      </c>
      <c r="AM85" s="6">
        <f t="shared" ref="AM85" si="39">AL85+1</f>
        <v>2039</v>
      </c>
      <c r="AN85" s="6">
        <f t="shared" ref="AN85" si="40">AM85+1</f>
        <v>2040</v>
      </c>
      <c r="AO85" s="6">
        <f t="shared" ref="AO85" si="41">AN85+1</f>
        <v>2041</v>
      </c>
      <c r="AP85" s="6">
        <f t="shared" ref="AP85" si="42">AO85+1</f>
        <v>2042</v>
      </c>
      <c r="AQ85" s="6">
        <f t="shared" ref="AQ85" si="43">AP85+1</f>
        <v>2043</v>
      </c>
      <c r="AR85" s="6">
        <f t="shared" ref="AR85" si="44">AQ85+1</f>
        <v>2044</v>
      </c>
      <c r="AS85" s="6">
        <f t="shared" ref="AS85" si="45">AR85+1</f>
        <v>2045</v>
      </c>
      <c r="AT85" s="6">
        <f t="shared" ref="AT85" si="46">AS85+1</f>
        <v>2046</v>
      </c>
      <c r="AU85" s="6">
        <f t="shared" ref="AU85" si="47">AT85+1</f>
        <v>2047</v>
      </c>
      <c r="AV85" s="6">
        <f t="shared" ref="AV85" si="48">AU85+1</f>
        <v>2048</v>
      </c>
      <c r="AW85" s="6">
        <f t="shared" ref="AW85" si="49">AV85+1</f>
        <v>2049</v>
      </c>
      <c r="AX85" s="6">
        <f t="shared" ref="AX85" si="50">AW85+1</f>
        <v>2050</v>
      </c>
      <c r="AY85" s="6">
        <f t="shared" ref="AY85" si="51">AX85+1</f>
        <v>2051</v>
      </c>
      <c r="AZ85" s="6">
        <f t="shared" ref="AZ85" si="52">AY85+1</f>
        <v>2052</v>
      </c>
      <c r="BA85" s="6">
        <f t="shared" ref="BA85" si="53">AZ85+1</f>
        <v>2053</v>
      </c>
      <c r="BB85" s="6">
        <f t="shared" ref="BB85" si="54">BA85+1</f>
        <v>2054</v>
      </c>
      <c r="BC85" s="6">
        <f t="shared" ref="BC85" si="55">BB85+1</f>
        <v>2055</v>
      </c>
      <c r="BD85" s="6">
        <f t="shared" ref="BD85" si="56">BC85+1</f>
        <v>2056</v>
      </c>
      <c r="BE85" s="6">
        <f t="shared" ref="BE85" si="57">BD85+1</f>
        <v>2057</v>
      </c>
      <c r="BF85" s="6">
        <f t="shared" ref="BF85" si="58">BE85+1</f>
        <v>2058</v>
      </c>
      <c r="BG85" s="6">
        <f t="shared" ref="BG85" si="59">BF85+1</f>
        <v>2059</v>
      </c>
      <c r="BH85" s="6">
        <f t="shared" ref="BH85" si="60">BG85+1</f>
        <v>2060</v>
      </c>
      <c r="BI85" s="6">
        <f t="shared" ref="BI85" si="61">BH85+1</f>
        <v>2061</v>
      </c>
    </row>
    <row r="86" spans="1:61">
      <c r="A86" s="719"/>
      <c r="B86" s="686" t="s">
        <v>530</v>
      </c>
      <c r="C86" s="669"/>
      <c r="D86" s="669"/>
      <c r="E86" s="669"/>
      <c r="F86" s="669"/>
      <c r="G86" s="669"/>
      <c r="H86" s="669"/>
      <c r="I86" s="669"/>
      <c r="J86" s="669"/>
      <c r="K86" s="669"/>
      <c r="L86" s="669"/>
      <c r="M86" s="687"/>
      <c r="N86" s="682"/>
      <c r="O86" s="682"/>
      <c r="P86" s="682"/>
      <c r="Q86" s="682"/>
      <c r="R86" s="682"/>
      <c r="S86" s="682"/>
      <c r="T86" s="682"/>
      <c r="U86" s="683">
        <f>DATE(2020,12,31)</f>
        <v>44196</v>
      </c>
      <c r="V86" s="683">
        <f>DATE(YEAR(U86+1),12,31)</f>
        <v>44561</v>
      </c>
      <c r="W86" s="683">
        <f t="shared" ref="W86:BI86" si="62">DATE(YEAR(V86+1),12,31)</f>
        <v>44926</v>
      </c>
      <c r="X86" s="683">
        <f t="shared" si="62"/>
        <v>45291</v>
      </c>
      <c r="Y86" s="683">
        <f t="shared" si="62"/>
        <v>45657</v>
      </c>
      <c r="Z86" s="683">
        <f t="shared" si="62"/>
        <v>46022</v>
      </c>
      <c r="AA86" s="683">
        <f t="shared" si="62"/>
        <v>46387</v>
      </c>
      <c r="AB86" s="683">
        <f t="shared" si="62"/>
        <v>46752</v>
      </c>
      <c r="AC86" s="683">
        <f t="shared" si="62"/>
        <v>47118</v>
      </c>
      <c r="AD86" s="683">
        <f t="shared" si="62"/>
        <v>47483</v>
      </c>
      <c r="AE86" s="683">
        <f t="shared" si="62"/>
        <v>47848</v>
      </c>
      <c r="AF86" s="683">
        <f t="shared" si="62"/>
        <v>48213</v>
      </c>
      <c r="AG86" s="683">
        <f t="shared" si="62"/>
        <v>48579</v>
      </c>
      <c r="AH86" s="683">
        <f t="shared" si="62"/>
        <v>48944</v>
      </c>
      <c r="AI86" s="683">
        <f t="shared" si="62"/>
        <v>49309</v>
      </c>
      <c r="AJ86" s="683">
        <f t="shared" si="62"/>
        <v>49674</v>
      </c>
      <c r="AK86" s="683">
        <f t="shared" si="62"/>
        <v>50040</v>
      </c>
      <c r="AL86" s="683">
        <f t="shared" si="62"/>
        <v>50405</v>
      </c>
      <c r="AM86" s="683">
        <f t="shared" si="62"/>
        <v>50770</v>
      </c>
      <c r="AN86" s="683">
        <f t="shared" si="62"/>
        <v>51135</v>
      </c>
      <c r="AO86" s="683">
        <f t="shared" si="62"/>
        <v>51501</v>
      </c>
      <c r="AP86" s="683">
        <f t="shared" si="62"/>
        <v>51866</v>
      </c>
      <c r="AQ86" s="683">
        <f t="shared" si="62"/>
        <v>52231</v>
      </c>
      <c r="AR86" s="683">
        <f t="shared" si="62"/>
        <v>52596</v>
      </c>
      <c r="AS86" s="683">
        <f t="shared" si="62"/>
        <v>52962</v>
      </c>
      <c r="AT86" s="683">
        <f t="shared" si="62"/>
        <v>53327</v>
      </c>
      <c r="AU86" s="683">
        <f t="shared" si="62"/>
        <v>53692</v>
      </c>
      <c r="AV86" s="683">
        <f t="shared" si="62"/>
        <v>54057</v>
      </c>
      <c r="AW86" s="683">
        <f t="shared" si="62"/>
        <v>54423</v>
      </c>
      <c r="AX86" s="683">
        <f t="shared" si="62"/>
        <v>54788</v>
      </c>
      <c r="AY86" s="683">
        <f t="shared" si="62"/>
        <v>55153</v>
      </c>
      <c r="AZ86" s="683">
        <f t="shared" si="62"/>
        <v>55518</v>
      </c>
      <c r="BA86" s="683">
        <f t="shared" si="62"/>
        <v>55884</v>
      </c>
      <c r="BB86" s="683">
        <f t="shared" si="62"/>
        <v>56249</v>
      </c>
      <c r="BC86" s="683">
        <f t="shared" si="62"/>
        <v>56614</v>
      </c>
      <c r="BD86" s="683">
        <f t="shared" si="62"/>
        <v>56979</v>
      </c>
      <c r="BE86" s="683">
        <f t="shared" si="62"/>
        <v>57345</v>
      </c>
      <c r="BF86" s="683">
        <f t="shared" si="62"/>
        <v>57710</v>
      </c>
      <c r="BG86" s="683">
        <f t="shared" si="62"/>
        <v>58075</v>
      </c>
      <c r="BH86" s="683">
        <f t="shared" si="62"/>
        <v>58440</v>
      </c>
      <c r="BI86" s="683">
        <f t="shared" si="62"/>
        <v>58806</v>
      </c>
    </row>
    <row r="87" spans="1:61" ht="45">
      <c r="A87" s="8" t="s">
        <v>462</v>
      </c>
      <c r="B87" s="129" t="s">
        <v>393</v>
      </c>
      <c r="C87" s="90"/>
      <c r="D87" s="90"/>
      <c r="E87" s="90"/>
      <c r="F87" s="90"/>
      <c r="G87" s="90"/>
      <c r="H87" s="90"/>
      <c r="I87" s="90"/>
      <c r="J87" s="90"/>
      <c r="K87" s="90"/>
      <c r="L87" s="90"/>
      <c r="M87" s="560"/>
      <c r="N87" s="560"/>
      <c r="O87" s="560"/>
      <c r="P87" s="560"/>
      <c r="Q87" s="560"/>
      <c r="R87" s="560"/>
      <c r="S87" s="560"/>
      <c r="T87" s="560"/>
      <c r="U87" s="589">
        <f>$M$82</f>
        <v>63535</v>
      </c>
      <c r="V87" s="589">
        <f>$M$82</f>
        <v>63535</v>
      </c>
      <c r="W87" s="549">
        <f t="shared" ref="W87" si="63">V87*W$6</f>
        <v>63535</v>
      </c>
      <c r="X87" s="543">
        <f t="shared" ref="X87" si="64">W87*X$6</f>
        <v>63535</v>
      </c>
      <c r="Y87" s="543">
        <f t="shared" ref="Y87" si="65">X87*Y$6</f>
        <v>63535</v>
      </c>
      <c r="Z87" s="543">
        <f t="shared" ref="Z87" si="66">Y87*Z$6</f>
        <v>63535</v>
      </c>
      <c r="AA87" s="543">
        <f t="shared" ref="AA87" si="67">Z87*AA$6</f>
        <v>63535</v>
      </c>
      <c r="AB87" s="543">
        <f t="shared" ref="AB87" si="68">AA87*AB$6</f>
        <v>63535</v>
      </c>
      <c r="AC87" s="543">
        <f t="shared" ref="AC87" si="69">AB87*AC$6</f>
        <v>63535</v>
      </c>
      <c r="AD87" s="543">
        <f t="shared" ref="AD87" si="70">AC87*AD$6</f>
        <v>63535</v>
      </c>
      <c r="AE87" s="543">
        <f t="shared" ref="AE87" si="71">AD87*AE$6</f>
        <v>63535</v>
      </c>
      <c r="AF87" s="543">
        <f t="shared" ref="AF87" si="72">AE87*AF$6</f>
        <v>63535</v>
      </c>
      <c r="AG87" s="543">
        <f t="shared" ref="AG87" si="73">AF87*AG$6</f>
        <v>63535</v>
      </c>
      <c r="AH87" s="543">
        <f t="shared" ref="AH87" si="74">AG87*AH$6</f>
        <v>63535</v>
      </c>
      <c r="AI87" s="543">
        <f t="shared" ref="AI87" si="75">AH87*AI$6</f>
        <v>63535</v>
      </c>
      <c r="AJ87" s="543">
        <f t="shared" ref="AJ87" si="76">AI87*AJ$6</f>
        <v>63535</v>
      </c>
      <c r="AK87" s="543">
        <f t="shared" ref="AK87" si="77">AJ87*AK$6</f>
        <v>63535</v>
      </c>
      <c r="AL87" s="543">
        <f t="shared" ref="AL87" si="78">AK87*AL$6</f>
        <v>63535</v>
      </c>
      <c r="AM87" s="543">
        <f t="shared" ref="AM87" si="79">AL87*AM$6</f>
        <v>63535</v>
      </c>
      <c r="AN87" s="543">
        <f t="shared" ref="AN87" si="80">AM87*AN$6</f>
        <v>63535</v>
      </c>
      <c r="AO87" s="543">
        <f t="shared" ref="AO87" si="81">AN87*AO$6</f>
        <v>63535</v>
      </c>
      <c r="AP87" s="543">
        <f t="shared" ref="AP87" si="82">AO87*AP$6</f>
        <v>63535</v>
      </c>
      <c r="AQ87" s="543">
        <f t="shared" ref="AQ87" si="83">AP87*AQ$6</f>
        <v>63535</v>
      </c>
      <c r="AR87" s="543">
        <f t="shared" ref="AR87" si="84">AQ87*AR$6</f>
        <v>63535</v>
      </c>
      <c r="AS87" s="543">
        <f t="shared" ref="AS87" si="85">AR87*AS$6</f>
        <v>63535</v>
      </c>
      <c r="AT87" s="543">
        <f t="shared" ref="AT87" si="86">AS87*AT$6</f>
        <v>63535</v>
      </c>
      <c r="AU87" s="543">
        <f t="shared" ref="AU87" si="87">AT87*AU$6</f>
        <v>63535</v>
      </c>
      <c r="AV87" s="543">
        <f t="shared" ref="AV87" si="88">AU87*AV$6</f>
        <v>63535</v>
      </c>
      <c r="AW87" s="543">
        <f t="shared" ref="AW87" si="89">AV87*AW$6</f>
        <v>63535</v>
      </c>
      <c r="AX87" s="543">
        <f t="shared" ref="AX87" si="90">AW87*AX$6</f>
        <v>63535</v>
      </c>
      <c r="AY87" s="543">
        <f t="shared" ref="AY87" si="91">AX87*AY$6</f>
        <v>63535</v>
      </c>
      <c r="AZ87" s="543">
        <f t="shared" ref="AZ87" si="92">AY87*AZ$6</f>
        <v>63535</v>
      </c>
      <c r="BA87" s="543">
        <f t="shared" ref="BA87" si="93">AZ87*BA$6</f>
        <v>63535</v>
      </c>
      <c r="BB87" s="543">
        <f t="shared" ref="BB87" si="94">BA87*BB$6</f>
        <v>63535</v>
      </c>
      <c r="BC87" s="543">
        <f t="shared" ref="BC87" si="95">BB87*BC$6</f>
        <v>63535</v>
      </c>
      <c r="BD87" s="543">
        <f t="shared" ref="BD87" si="96">BC87*BD$6</f>
        <v>63535</v>
      </c>
      <c r="BE87" s="543">
        <f t="shared" ref="BE87" si="97">BD87*BE$6</f>
        <v>63535</v>
      </c>
      <c r="BF87" s="543">
        <f t="shared" ref="BF87" si="98">BE87*BF$6</f>
        <v>63535</v>
      </c>
      <c r="BG87" s="543">
        <f t="shared" ref="BG87" si="99">BF87*BG$6</f>
        <v>63535</v>
      </c>
      <c r="BH87" s="543">
        <f t="shared" ref="BH87" si="100">BG87*BH$6</f>
        <v>63535</v>
      </c>
      <c r="BI87" s="543">
        <f t="shared" ref="BI87" si="101">BH87*BI$6</f>
        <v>63535</v>
      </c>
    </row>
    <row r="88" spans="1:61"/>
    <row r="89" spans="1:61"/>
    <row r="90" spans="1:61"/>
    <row r="91" spans="1:61" hidden="1"/>
  </sheetData>
  <mergeCells count="13">
    <mergeCell ref="A7:U9"/>
    <mergeCell ref="A85:A86"/>
    <mergeCell ref="M68:N68"/>
    <mergeCell ref="M69:N69"/>
    <mergeCell ref="M70:N70"/>
    <mergeCell ref="M71:N71"/>
    <mergeCell ref="M72:N72"/>
    <mergeCell ref="A13:A14"/>
    <mergeCell ref="A37:A38"/>
    <mergeCell ref="M61:N61"/>
    <mergeCell ref="M62:N62"/>
    <mergeCell ref="M63:N63"/>
    <mergeCell ref="M60:N60"/>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98"/>
  <sheetViews>
    <sheetView workbookViewId="0">
      <pane ySplit="1" topLeftCell="A2" activePane="bottomLeft" state="frozen"/>
      <selection pane="bottomLeft" activeCell="A2" sqref="A2"/>
    </sheetView>
  </sheetViews>
  <sheetFormatPr defaultColWidth="0" defaultRowHeight="15" zeroHeight="1" outlineLevelRow="1"/>
  <cols>
    <col min="1" max="1" width="29" style="561" customWidth="1"/>
    <col min="2" max="2" width="15" style="561" bestFit="1" customWidth="1"/>
    <col min="3" max="5" width="15" style="561" customWidth="1"/>
    <col min="6" max="6" width="18.85546875" style="561" customWidth="1"/>
    <col min="7" max="8" width="15" style="561" customWidth="1"/>
    <col min="9" max="9" width="59.7109375" style="561" bestFit="1" customWidth="1"/>
    <col min="10" max="10" width="18.140625" style="561" customWidth="1"/>
    <col min="11" max="11" width="10" style="561" bestFit="1" customWidth="1"/>
    <col min="12" max="59" width="9.140625" style="561" customWidth="1"/>
    <col min="60" max="16384" width="9.140625" style="561" hidden="1"/>
  </cols>
  <sheetData>
    <row r="1" spans="1:21" ht="24">
      <c r="A1" s="4" t="s">
        <v>882</v>
      </c>
      <c r="B1" s="5"/>
      <c r="C1" s="103"/>
      <c r="D1" s="103"/>
      <c r="E1" s="103"/>
      <c r="F1" s="103"/>
      <c r="G1" s="103"/>
      <c r="H1" s="103"/>
      <c r="I1" s="103"/>
      <c r="J1" s="103"/>
      <c r="K1"/>
      <c r="L1"/>
      <c r="M1"/>
      <c r="N1"/>
      <c r="O1"/>
      <c r="P1"/>
      <c r="Q1"/>
      <c r="R1"/>
      <c r="S1"/>
      <c r="T1"/>
      <c r="U1"/>
    </row>
    <row r="2" spans="1:21"/>
    <row r="3" spans="1:21" s="598" customFormat="1"/>
    <row r="4" spans="1:21" s="598" customFormat="1"/>
    <row r="5" spans="1:21" s="598" customFormat="1"/>
    <row r="6" spans="1:21" s="598" customFormat="1"/>
    <row r="7" spans="1:21" s="598" customFormat="1"/>
    <row r="8" spans="1:21" s="598" customFormat="1"/>
    <row r="9" spans="1:21" s="598" customFormat="1"/>
    <row r="10" spans="1:21" ht="18">
      <c r="A10" s="132" t="s">
        <v>404</v>
      </c>
      <c r="B10" s="132" t="s">
        <v>442</v>
      </c>
      <c r="C10" s="132" t="s">
        <v>405</v>
      </c>
      <c r="D10" s="132"/>
      <c r="E10" s="132"/>
      <c r="F10" s="132" t="s">
        <v>406</v>
      </c>
      <c r="G10" s="132" t="s">
        <v>479</v>
      </c>
      <c r="H10" s="132" t="s">
        <v>407</v>
      </c>
      <c r="I10" s="132" t="s">
        <v>408</v>
      </c>
      <c r="J10" s="132" t="s">
        <v>409</v>
      </c>
    </row>
    <row r="11" spans="1:21">
      <c r="A11" s="561" t="s">
        <v>410</v>
      </c>
      <c r="B11" s="561" t="s">
        <v>411</v>
      </c>
      <c r="C11" s="561" t="s">
        <v>412</v>
      </c>
      <c r="F11" s="134">
        <v>1.1000000000000001</v>
      </c>
      <c r="G11" s="135">
        <v>8</v>
      </c>
      <c r="H11" s="134">
        <v>0.36</v>
      </c>
      <c r="I11" s="561" t="s">
        <v>883</v>
      </c>
      <c r="J11" s="561" t="s">
        <v>888</v>
      </c>
    </row>
    <row r="12" spans="1:21">
      <c r="A12" s="561" t="s">
        <v>413</v>
      </c>
      <c r="B12" s="561" t="s">
        <v>414</v>
      </c>
      <c r="C12" s="561" t="s">
        <v>412</v>
      </c>
      <c r="F12" s="134">
        <v>1.1000000000000001</v>
      </c>
      <c r="G12" s="135">
        <v>7</v>
      </c>
      <c r="H12" s="134">
        <v>0.15</v>
      </c>
      <c r="I12" s="561" t="s">
        <v>883</v>
      </c>
      <c r="J12" s="561" t="s">
        <v>888</v>
      </c>
    </row>
    <row r="13" spans="1:21">
      <c r="A13" s="561" t="s">
        <v>415</v>
      </c>
      <c r="B13" s="561" t="s">
        <v>416</v>
      </c>
      <c r="C13" s="561" t="s">
        <v>412</v>
      </c>
      <c r="F13" s="134">
        <v>0.66</v>
      </c>
      <c r="G13" s="135">
        <v>5</v>
      </c>
      <c r="H13" s="134">
        <v>0.1</v>
      </c>
      <c r="I13" s="561" t="s">
        <v>884</v>
      </c>
      <c r="J13" s="564" t="s">
        <v>889</v>
      </c>
    </row>
    <row r="14" spans="1:21">
      <c r="A14" s="561" t="s">
        <v>417</v>
      </c>
      <c r="B14" s="561" t="s">
        <v>418</v>
      </c>
      <c r="C14" s="561" t="s">
        <v>412</v>
      </c>
      <c r="F14" s="134">
        <v>0.46</v>
      </c>
      <c r="G14" s="135">
        <v>3.5</v>
      </c>
      <c r="H14" s="134">
        <v>0.02</v>
      </c>
      <c r="I14" s="561" t="s">
        <v>885</v>
      </c>
      <c r="J14" s="564" t="s">
        <v>890</v>
      </c>
    </row>
    <row r="15" spans="1:21">
      <c r="A15" s="561" t="s">
        <v>419</v>
      </c>
      <c r="B15" s="561" t="s">
        <v>420</v>
      </c>
      <c r="C15" s="561" t="s">
        <v>412</v>
      </c>
      <c r="F15" s="134">
        <v>0.46</v>
      </c>
      <c r="G15" s="135">
        <v>2</v>
      </c>
      <c r="H15" s="134">
        <v>0.02</v>
      </c>
      <c r="I15" s="561" t="s">
        <v>886</v>
      </c>
      <c r="J15" s="564" t="s">
        <v>891</v>
      </c>
    </row>
    <row r="16" spans="1:21">
      <c r="A16" s="163" t="s">
        <v>421</v>
      </c>
      <c r="B16" s="163" t="s">
        <v>422</v>
      </c>
      <c r="C16" s="163" t="s">
        <v>412</v>
      </c>
      <c r="D16" s="163"/>
      <c r="E16" s="163"/>
      <c r="F16" s="164">
        <v>0.13</v>
      </c>
      <c r="G16" s="166">
        <v>0.4</v>
      </c>
      <c r="H16" s="164">
        <v>0.01</v>
      </c>
      <c r="I16" s="163" t="s">
        <v>887</v>
      </c>
      <c r="J16" s="575" t="s">
        <v>892</v>
      </c>
    </row>
    <row r="17" spans="1:17">
      <c r="A17" s="163" t="s">
        <v>423</v>
      </c>
      <c r="B17" s="163"/>
      <c r="C17" s="163" t="s">
        <v>412</v>
      </c>
      <c r="D17" s="163"/>
      <c r="E17" s="163"/>
      <c r="F17" s="576">
        <v>0.13</v>
      </c>
      <c r="G17" s="577">
        <v>0.4</v>
      </c>
      <c r="H17" s="576">
        <v>0.01</v>
      </c>
      <c r="I17" s="163"/>
      <c r="J17" s="163"/>
    </row>
    <row r="18" spans="1:17"/>
    <row r="19" spans="1:17" ht="18">
      <c r="D19" s="132" t="s">
        <v>477</v>
      </c>
      <c r="E19" s="132" t="s">
        <v>478</v>
      </c>
      <c r="F19" s="132" t="str">
        <f>F10</f>
        <v>NMHC/NMVOC</v>
      </c>
      <c r="G19" s="132" t="str">
        <f t="shared" ref="G19:H19" si="0">G10</f>
        <v>NOx</v>
      </c>
      <c r="H19" s="132" t="str">
        <f t="shared" si="0"/>
        <v>PM</v>
      </c>
    </row>
    <row r="20" spans="1:17">
      <c r="A20" s="195" t="s">
        <v>100</v>
      </c>
      <c r="B20" s="195" t="s">
        <v>444</v>
      </c>
      <c r="C20" s="195" t="s">
        <v>412</v>
      </c>
      <c r="D20" s="195">
        <v>719</v>
      </c>
      <c r="E20" s="597">
        <v>0.51100000000000001</v>
      </c>
      <c r="F20" s="597">
        <f>1.4*($B$24*$B$25)/($B$23*1000)</f>
        <v>5.0400000000000002E-3</v>
      </c>
      <c r="G20" s="597">
        <v>0.57599999999999996</v>
      </c>
      <c r="H20" s="597">
        <v>2.9000000000000001E-2</v>
      </c>
      <c r="I20" s="195" t="s">
        <v>893</v>
      </c>
    </row>
    <row r="21" spans="1:17" hidden="1" outlineLevel="1"/>
    <row r="22" spans="1:17" hidden="1" outlineLevel="1">
      <c r="A22" s="561" t="s">
        <v>50</v>
      </c>
      <c r="B22" s="156">
        <f>B23/(B24*B25)</f>
        <v>0.27777777777777779</v>
      </c>
    </row>
    <row r="23" spans="1:17" hidden="1" outlineLevel="1">
      <c r="B23" s="102">
        <f>10^6</f>
        <v>1000000</v>
      </c>
      <c r="C23" s="561" t="s">
        <v>62</v>
      </c>
    </row>
    <row r="24" spans="1:17" hidden="1" outlineLevel="1">
      <c r="B24" s="102">
        <f>10^3</f>
        <v>1000</v>
      </c>
      <c r="C24" s="561" t="s">
        <v>63</v>
      </c>
      <c r="Q24"/>
    </row>
    <row r="25" spans="1:17" hidden="1" outlineLevel="1">
      <c r="B25" s="102">
        <f>(60*60)</f>
        <v>3600</v>
      </c>
      <c r="C25" s="561" t="s">
        <v>64</v>
      </c>
      <c r="Q25"/>
    </row>
    <row r="26" spans="1:17" collapsed="1"/>
    <row r="27" spans="1:17">
      <c r="A27" s="132" t="s">
        <v>424</v>
      </c>
    </row>
    <row r="28" spans="1:17">
      <c r="A28" s="1"/>
    </row>
    <row r="29" spans="1:17">
      <c r="A29" s="561" t="s">
        <v>425</v>
      </c>
      <c r="C29" s="565">
        <v>36</v>
      </c>
      <c r="D29" s="561" t="s">
        <v>426</v>
      </c>
      <c r="E29" s="566" t="s">
        <v>427</v>
      </c>
    </row>
    <row r="30" spans="1:17">
      <c r="A30" s="561" t="s">
        <v>428</v>
      </c>
      <c r="B30" s="14" t="s">
        <v>429</v>
      </c>
      <c r="C30" s="561">
        <f>1/$B$22</f>
        <v>3.5999999999999996</v>
      </c>
      <c r="D30" s="561" t="s">
        <v>430</v>
      </c>
      <c r="E30" s="567"/>
    </row>
    <row r="31" spans="1:17">
      <c r="A31" s="561" t="s">
        <v>425</v>
      </c>
      <c r="C31" s="568">
        <f>C29/C30</f>
        <v>10.000000000000002</v>
      </c>
      <c r="D31" s="561" t="s">
        <v>431</v>
      </c>
    </row>
    <row r="32" spans="1:17">
      <c r="A32" s="561" t="s">
        <v>432</v>
      </c>
      <c r="C32" s="565">
        <v>36</v>
      </c>
      <c r="D32" s="561" t="s">
        <v>433</v>
      </c>
    </row>
    <row r="33" spans="1:13">
      <c r="A33" s="195"/>
      <c r="B33" s="561" t="s">
        <v>434</v>
      </c>
      <c r="C33" s="561">
        <v>100</v>
      </c>
      <c r="D33" s="561" t="s">
        <v>186</v>
      </c>
    </row>
    <row r="34" spans="1:13">
      <c r="A34" s="195"/>
      <c r="B34" s="561" t="s">
        <v>435</v>
      </c>
      <c r="C34" s="561">
        <f>C32*C31/C33</f>
        <v>3.6000000000000005</v>
      </c>
      <c r="D34" s="561" t="s">
        <v>435</v>
      </c>
    </row>
    <row r="35" spans="1:13">
      <c r="A35" s="195"/>
      <c r="M35" s="226"/>
    </row>
    <row r="36" spans="1:13">
      <c r="A36" s="195"/>
      <c r="E36" s="1"/>
      <c r="F36" s="132" t="str">
        <f>F10</f>
        <v>NMHC/NMVOC</v>
      </c>
      <c r="G36" s="132" t="str">
        <f>G10</f>
        <v>NOx</v>
      </c>
      <c r="H36" s="132" t="str">
        <f>H10</f>
        <v>PM</v>
      </c>
    </row>
    <row r="37" spans="1:13">
      <c r="A37" s="195" t="s">
        <v>436</v>
      </c>
      <c r="B37" s="565" t="s">
        <v>421</v>
      </c>
      <c r="E37" s="561" t="s">
        <v>437</v>
      </c>
      <c r="F37" s="569">
        <f>VLOOKUP($B$37,$A$11:$H$17,6,FALSE)*$C$34</f>
        <v>0.46800000000000008</v>
      </c>
      <c r="G37" s="569">
        <f>VLOOKUP($B$37,$A$11:$H$17,7,FALSE)*$C$34</f>
        <v>1.4400000000000004</v>
      </c>
      <c r="H37" s="569">
        <f>VLOOKUP($B$37,$A$11:$H$17,8,FALSE)*$C$34</f>
        <v>3.6000000000000004E-2</v>
      </c>
    </row>
    <row r="38" spans="1:13">
      <c r="A38" s="195"/>
    </row>
    <row r="39" spans="1:13" s="573" customFormat="1" ht="18">
      <c r="A39" s="195" t="s">
        <v>504</v>
      </c>
      <c r="B39" s="590">
        <v>3.169</v>
      </c>
      <c r="C39" s="195" t="s">
        <v>894</v>
      </c>
      <c r="D39" s="195"/>
    </row>
    <row r="40" spans="1:13" s="573" customFormat="1">
      <c r="A40" s="195" t="s">
        <v>505</v>
      </c>
      <c r="B40" s="590">
        <v>840</v>
      </c>
      <c r="C40" s="195" t="s">
        <v>895</v>
      </c>
      <c r="D40" s="195"/>
    </row>
    <row r="41" spans="1:13" s="573" customFormat="1" ht="18">
      <c r="A41" s="195" t="s">
        <v>506</v>
      </c>
      <c r="B41" s="590">
        <f>B39*(B40/B42)</f>
        <v>2.6619600000000001</v>
      </c>
      <c r="C41" s="195"/>
      <c r="D41" s="195"/>
    </row>
    <row r="42" spans="1:13" s="573" customFormat="1">
      <c r="A42" s="195"/>
      <c r="B42" s="591">
        <f>10^3</f>
        <v>1000</v>
      </c>
      <c r="C42" s="195" t="s">
        <v>445</v>
      </c>
      <c r="D42" s="195"/>
    </row>
    <row r="43" spans="1:13" s="573" customFormat="1" ht="18" hidden="1" outlineLevel="1">
      <c r="A43" s="594" t="s">
        <v>480</v>
      </c>
      <c r="B43" s="592">
        <v>2.7</v>
      </c>
      <c r="C43" s="593" t="s">
        <v>896</v>
      </c>
      <c r="D43" s="195"/>
    </row>
    <row r="44" spans="1:13" ht="18" collapsed="1">
      <c r="A44" s="195" t="s">
        <v>487</v>
      </c>
      <c r="B44" s="569">
        <f>B41*C32/C33</f>
        <v>0.95830560000000009</v>
      </c>
    </row>
    <row r="45" spans="1:13"/>
    <row r="46" spans="1:13">
      <c r="A46" s="132" t="s">
        <v>438</v>
      </c>
    </row>
    <row r="47" spans="1:13">
      <c r="A47" s="1"/>
    </row>
    <row r="48" spans="1:13" ht="17.25">
      <c r="A48" s="561" t="s">
        <v>439</v>
      </c>
      <c r="C48" s="565">
        <v>33</v>
      </c>
      <c r="D48" s="561" t="s">
        <v>481</v>
      </c>
      <c r="E48" s="566" t="s">
        <v>427</v>
      </c>
    </row>
    <row r="49" spans="1:8">
      <c r="A49" s="561" t="s">
        <v>428</v>
      </c>
      <c r="B49" s="14" t="s">
        <v>429</v>
      </c>
      <c r="C49" s="561">
        <f>1/$B$22</f>
        <v>3.5999999999999996</v>
      </c>
      <c r="D49" s="561" t="s">
        <v>430</v>
      </c>
    </row>
    <row r="50" spans="1:8" ht="17.25">
      <c r="A50" s="561" t="s">
        <v>439</v>
      </c>
      <c r="C50" s="568">
        <f>C48/C49</f>
        <v>9.1666666666666679</v>
      </c>
      <c r="D50" s="561" t="s">
        <v>482</v>
      </c>
    </row>
    <row r="51" spans="1:8">
      <c r="A51" s="561" t="s">
        <v>432</v>
      </c>
      <c r="C51" s="565">
        <v>60</v>
      </c>
      <c r="D51" s="561" t="s">
        <v>440</v>
      </c>
    </row>
    <row r="52" spans="1:8">
      <c r="B52" s="561" t="s">
        <v>434</v>
      </c>
      <c r="C52" s="561">
        <v>100</v>
      </c>
      <c r="D52" s="573" t="s">
        <v>186</v>
      </c>
    </row>
    <row r="53" spans="1:8">
      <c r="B53" s="561" t="s">
        <v>435</v>
      </c>
      <c r="C53" s="134">
        <f>C50*C51/C52</f>
        <v>5.5000000000000009</v>
      </c>
      <c r="D53" s="561" t="s">
        <v>435</v>
      </c>
    </row>
    <row r="54" spans="1:8"/>
    <row r="55" spans="1:8">
      <c r="E55" s="1"/>
      <c r="F55" s="132" t="str">
        <f>F10</f>
        <v>NMHC/NMVOC</v>
      </c>
      <c r="G55" s="132" t="str">
        <f t="shared" ref="G55:H55" si="1">G10</f>
        <v>NOx</v>
      </c>
      <c r="H55" s="132" t="str">
        <f t="shared" si="1"/>
        <v>PM</v>
      </c>
    </row>
    <row r="56" spans="1:8">
      <c r="A56" s="561" t="s">
        <v>436</v>
      </c>
      <c r="B56" s="565" t="s">
        <v>421</v>
      </c>
      <c r="E56" s="561" t="s">
        <v>437</v>
      </c>
      <c r="F56" s="569">
        <f>VLOOKUP($B$56,$A$11:$H$17,6,FALSE)*$C$53</f>
        <v>0.71500000000000019</v>
      </c>
      <c r="G56" s="569">
        <f>VLOOKUP($B$56,$A$11:$H$17,7,FALSE)*$C$53</f>
        <v>2.2000000000000006</v>
      </c>
      <c r="H56" s="570">
        <f>VLOOKUP($B$56,$A$11:$H$17,8,FALSE)*$C$53</f>
        <v>5.5000000000000007E-2</v>
      </c>
    </row>
    <row r="57" spans="1:8" s="573" customFormat="1" ht="18" hidden="1" outlineLevel="1">
      <c r="A57" s="594" t="s">
        <v>484</v>
      </c>
      <c r="B57" s="592">
        <v>2.7429999999999999</v>
      </c>
      <c r="C57" s="593" t="s">
        <v>894</v>
      </c>
    </row>
    <row r="58" spans="1:8" s="573" customFormat="1" hidden="1" outlineLevel="1">
      <c r="A58" s="594" t="s">
        <v>443</v>
      </c>
      <c r="B58" s="592">
        <v>175</v>
      </c>
      <c r="C58" s="593" t="s">
        <v>895</v>
      </c>
    </row>
    <row r="59" spans="1:8" s="573" customFormat="1" ht="18" hidden="1" outlineLevel="1">
      <c r="A59" s="594" t="s">
        <v>485</v>
      </c>
      <c r="B59" s="592">
        <f>B57*(B58/B61)</f>
        <v>0.48002499999999992</v>
      </c>
      <c r="C59" s="593"/>
    </row>
    <row r="60" spans="1:8" s="573" customFormat="1" ht="18.75" hidden="1" outlineLevel="1">
      <c r="A60" s="594" t="s">
        <v>486</v>
      </c>
      <c r="B60" s="592">
        <f>B59*B62</f>
        <v>480.02499999999992</v>
      </c>
      <c r="C60" s="593"/>
    </row>
    <row r="61" spans="1:8" s="573" customFormat="1" hidden="1" outlineLevel="1">
      <c r="A61" s="195"/>
      <c r="B61" s="591">
        <f>10^3</f>
        <v>1000</v>
      </c>
      <c r="C61" s="195" t="s">
        <v>445</v>
      </c>
    </row>
    <row r="62" spans="1:8" s="573" customFormat="1" ht="17.25" hidden="1" outlineLevel="1">
      <c r="A62" s="195"/>
      <c r="B62" s="591">
        <f>10^3</f>
        <v>1000</v>
      </c>
      <c r="C62" s="195" t="s">
        <v>483</v>
      </c>
    </row>
    <row r="63" spans="1:8" ht="18.75" collapsed="1">
      <c r="A63" s="595" t="s">
        <v>507</v>
      </c>
      <c r="B63" s="596">
        <v>1.9</v>
      </c>
      <c r="C63" s="391" t="s">
        <v>896</v>
      </c>
      <c r="E63" s="571"/>
      <c r="F63" s="571"/>
      <c r="G63" s="571"/>
      <c r="H63" s="572"/>
    </row>
    <row r="64" spans="1:8" ht="18">
      <c r="A64" s="561" t="s">
        <v>487</v>
      </c>
      <c r="B64" s="569">
        <f>B63*C51/C52</f>
        <v>1.1399999999999999</v>
      </c>
      <c r="E64" s="571"/>
      <c r="F64" s="571"/>
      <c r="G64" s="571"/>
      <c r="H64" s="572"/>
    </row>
    <row r="65" spans="1:9">
      <c r="E65" s="571"/>
      <c r="F65" s="571"/>
      <c r="G65" s="571"/>
      <c r="H65" s="572"/>
    </row>
    <row r="66" spans="1:9" s="573" customFormat="1">
      <c r="A66" s="132" t="s">
        <v>904</v>
      </c>
      <c r="B66" s="707"/>
      <c r="C66" s="707"/>
      <c r="D66" s="707"/>
      <c r="E66" s="707"/>
      <c r="F66" s="571"/>
      <c r="G66" s="571"/>
      <c r="H66" s="572"/>
      <c r="I66" s="707"/>
    </row>
    <row r="67" spans="1:9" s="573" customFormat="1">
      <c r="A67" s="1"/>
      <c r="B67" s="707"/>
      <c r="C67" s="707"/>
      <c r="D67" s="707"/>
      <c r="E67" s="707"/>
      <c r="F67" s="571"/>
      <c r="G67" s="571"/>
      <c r="H67" s="572"/>
      <c r="I67" s="707"/>
    </row>
    <row r="68" spans="1:9" s="707" customFormat="1">
      <c r="A68" s="707" t="s">
        <v>905</v>
      </c>
      <c r="C68" s="565">
        <v>24</v>
      </c>
      <c r="D68" s="707" t="s">
        <v>426</v>
      </c>
      <c r="E68" s="566" t="s">
        <v>427</v>
      </c>
      <c r="F68" s="571"/>
      <c r="G68" s="571"/>
      <c r="H68" s="572"/>
    </row>
    <row r="69" spans="1:9" s="707" customFormat="1">
      <c r="A69" s="707" t="s">
        <v>428</v>
      </c>
      <c r="B69" s="14" t="s">
        <v>429</v>
      </c>
      <c r="C69" s="707">
        <f>1/$B$22</f>
        <v>3.5999999999999996</v>
      </c>
      <c r="D69" s="707" t="s">
        <v>430</v>
      </c>
      <c r="E69" s="571"/>
      <c r="F69" s="571"/>
      <c r="G69" s="571"/>
      <c r="H69" s="572"/>
    </row>
    <row r="70" spans="1:9" s="707" customFormat="1">
      <c r="A70" s="707" t="s">
        <v>905</v>
      </c>
      <c r="C70" s="568">
        <f>C68/C69</f>
        <v>6.666666666666667</v>
      </c>
      <c r="D70" s="707" t="s">
        <v>431</v>
      </c>
      <c r="E70" s="571"/>
      <c r="F70" s="571"/>
      <c r="G70" s="571"/>
      <c r="H70" s="572"/>
    </row>
    <row r="71" spans="1:9" s="707" customFormat="1">
      <c r="A71" s="707" t="s">
        <v>432</v>
      </c>
      <c r="C71" s="565">
        <v>55</v>
      </c>
      <c r="D71" s="707" t="s">
        <v>433</v>
      </c>
      <c r="E71" s="571"/>
      <c r="F71" s="571"/>
      <c r="G71" s="571"/>
      <c r="H71" s="572"/>
    </row>
    <row r="72" spans="1:9" s="707" customFormat="1">
      <c r="B72" s="707" t="s">
        <v>434</v>
      </c>
      <c r="C72" s="707">
        <v>100</v>
      </c>
      <c r="D72" s="707" t="s">
        <v>186</v>
      </c>
      <c r="E72" s="571"/>
      <c r="F72" s="571"/>
      <c r="G72" s="571"/>
      <c r="H72" s="572"/>
    </row>
    <row r="73" spans="1:9" s="707" customFormat="1">
      <c r="B73" s="707" t="s">
        <v>435</v>
      </c>
      <c r="C73" s="134">
        <f>C70*C71/C72</f>
        <v>3.666666666666667</v>
      </c>
      <c r="D73" s="707" t="s">
        <v>435</v>
      </c>
      <c r="E73" s="571"/>
      <c r="F73" s="571"/>
      <c r="G73" s="571"/>
      <c r="H73" s="572"/>
    </row>
    <row r="74" spans="1:9" s="707" customFormat="1">
      <c r="E74" s="571"/>
      <c r="F74" s="571"/>
      <c r="G74" s="571"/>
      <c r="H74" s="572"/>
    </row>
    <row r="75" spans="1:9" s="707" customFormat="1">
      <c r="E75" s="1"/>
      <c r="F75" s="132" t="str">
        <f>F10</f>
        <v>NMHC/NMVOC</v>
      </c>
      <c r="G75" s="132" t="str">
        <f t="shared" ref="G75:H75" si="2">G10</f>
        <v>NOx</v>
      </c>
      <c r="H75" s="132" t="str">
        <f t="shared" si="2"/>
        <v>PM</v>
      </c>
    </row>
    <row r="76" spans="1:9" s="707" customFormat="1">
      <c r="A76" s="707" t="s">
        <v>436</v>
      </c>
      <c r="B76" s="565" t="s">
        <v>421</v>
      </c>
      <c r="E76" s="707" t="s">
        <v>437</v>
      </c>
      <c r="F76" s="569">
        <f>VLOOKUP($B$76,$A$11:$H$17,6,FALSE)*$C$73</f>
        <v>0.47666666666666674</v>
      </c>
      <c r="G76" s="569">
        <f>VLOOKUP($B$76,$A$11:$H$17,7,FALSE)*$C$73</f>
        <v>1.4666666666666668</v>
      </c>
      <c r="H76" s="570">
        <f>VLOOKUP($B$76,$A$11:$H$17,8,FALSE)*$C$73</f>
        <v>3.6666666666666674E-2</v>
      </c>
    </row>
    <row r="77" spans="1:9" s="707" customFormat="1" ht="18">
      <c r="A77" s="195" t="s">
        <v>504</v>
      </c>
      <c r="B77" s="707">
        <v>3.024</v>
      </c>
      <c r="C77" s="195" t="s">
        <v>894</v>
      </c>
      <c r="E77" s="571"/>
      <c r="F77" s="571"/>
      <c r="G77" s="571"/>
      <c r="H77" s="572"/>
    </row>
    <row r="78" spans="1:9" s="707" customFormat="1">
      <c r="A78" s="195" t="s">
        <v>505</v>
      </c>
      <c r="B78" s="707">
        <v>520</v>
      </c>
      <c r="C78" s="195" t="s">
        <v>895</v>
      </c>
      <c r="E78" s="571"/>
      <c r="F78" s="571"/>
      <c r="G78" s="571"/>
      <c r="H78" s="572"/>
    </row>
    <row r="79" spans="1:9" s="707" customFormat="1" ht="18">
      <c r="A79" s="195" t="s">
        <v>506</v>
      </c>
      <c r="B79" s="590">
        <f>B77*(B78/B80)</f>
        <v>1.5724800000000001</v>
      </c>
      <c r="E79" s="571"/>
      <c r="F79" s="571"/>
      <c r="G79" s="571"/>
      <c r="H79" s="572"/>
    </row>
    <row r="80" spans="1:9" s="707" customFormat="1">
      <c r="B80" s="591">
        <f>10^3</f>
        <v>1000</v>
      </c>
      <c r="C80" s="195" t="s">
        <v>445</v>
      </c>
      <c r="E80" s="571"/>
      <c r="F80" s="571"/>
      <c r="G80" s="571"/>
      <c r="H80" s="572"/>
    </row>
    <row r="81" spans="1:8" s="707" customFormat="1" ht="18" hidden="1" outlineLevel="1">
      <c r="A81" s="594" t="s">
        <v>480</v>
      </c>
      <c r="B81" s="592">
        <v>1.6</v>
      </c>
      <c r="C81" s="593" t="s">
        <v>896</v>
      </c>
      <c r="E81" s="571"/>
      <c r="F81" s="571"/>
      <c r="G81" s="571"/>
      <c r="H81" s="572"/>
    </row>
    <row r="82" spans="1:8" s="707" customFormat="1" ht="18" collapsed="1">
      <c r="A82" s="195" t="s">
        <v>487</v>
      </c>
      <c r="B82" s="569">
        <f>B79*C71/C72</f>
        <v>0.86486400000000008</v>
      </c>
      <c r="E82" s="571"/>
      <c r="F82" s="571"/>
      <c r="G82" s="571"/>
      <c r="H82" s="572"/>
    </row>
    <row r="83" spans="1:8" s="707" customFormat="1">
      <c r="E83" s="571"/>
      <c r="F83" s="571"/>
      <c r="G83" s="571"/>
      <c r="H83" s="572"/>
    </row>
    <row r="84" spans="1:8">
      <c r="A84" s="132" t="s">
        <v>441</v>
      </c>
    </row>
    <row r="85" spans="1:8"/>
    <row r="86" spans="1:8">
      <c r="A86" s="561" t="s">
        <v>897</v>
      </c>
      <c r="C86" s="565">
        <v>139</v>
      </c>
      <c r="D86" s="561" t="s">
        <v>899</v>
      </c>
    </row>
    <row r="87" spans="1:8">
      <c r="B87" s="561" t="s">
        <v>898</v>
      </c>
      <c r="C87" s="561">
        <v>100</v>
      </c>
    </row>
    <row r="88" spans="1:8">
      <c r="B88" s="561" t="s">
        <v>435</v>
      </c>
      <c r="C88" s="134">
        <f>C86/C87</f>
        <v>1.39</v>
      </c>
      <c r="D88" s="561" t="s">
        <v>435</v>
      </c>
    </row>
    <row r="89" spans="1:8">
      <c r="C89" s="134"/>
      <c r="D89" s="134"/>
    </row>
    <row r="90" spans="1:8">
      <c r="E90" s="132" t="str">
        <f>E19</f>
        <v>SO2</v>
      </c>
      <c r="F90" s="132" t="str">
        <f t="shared" ref="F90:H90" si="3">F19</f>
        <v>NMHC/NMVOC</v>
      </c>
      <c r="G90" s="132" t="str">
        <f t="shared" si="3"/>
        <v>NOx</v>
      </c>
      <c r="H90" s="132" t="str">
        <f t="shared" si="3"/>
        <v>PM</v>
      </c>
    </row>
    <row r="91" spans="1:8">
      <c r="C91" s="561" t="s">
        <v>437</v>
      </c>
      <c r="E91" s="569">
        <f>E$20*$C$88</f>
        <v>0.71028999999999998</v>
      </c>
      <c r="F91" s="569">
        <f t="shared" ref="F91:H91" si="4">F$20*$C$88</f>
        <v>7.0055999999999998E-3</v>
      </c>
      <c r="G91" s="569">
        <f t="shared" si="4"/>
        <v>0.80063999999999991</v>
      </c>
      <c r="H91" s="569">
        <f t="shared" si="4"/>
        <v>4.0309999999999999E-2</v>
      </c>
    </row>
    <row r="92" spans="1:8"/>
    <row r="93" spans="1:8" ht="18">
      <c r="A93" s="561" t="s">
        <v>488</v>
      </c>
      <c r="B93" s="195">
        <f>D$20</f>
        <v>719</v>
      </c>
      <c r="C93" s="195" t="s">
        <v>900</v>
      </c>
      <c r="D93" s="195"/>
    </row>
    <row r="94" spans="1:8" ht="18">
      <c r="A94" s="561" t="s">
        <v>487</v>
      </c>
      <c r="B94" s="570">
        <f>B93*C88/1000</f>
        <v>0.99941000000000002</v>
      </c>
    </row>
    <row r="95" spans="1:8" ht="18">
      <c r="A95" s="561" t="s">
        <v>489</v>
      </c>
    </row>
    <row r="96" spans="1:8">
      <c r="A96" s="561" t="s">
        <v>901</v>
      </c>
    </row>
    <row r="97" spans="1:1" ht="18">
      <c r="A97" s="652" t="s">
        <v>490</v>
      </c>
    </row>
    <row r="98" spans="1:1">
      <c r="A98" s="149"/>
    </row>
  </sheetData>
  <dataValidations disablePrompts="1" count="1">
    <dataValidation type="list" allowBlank="1" showInputMessage="1" showErrorMessage="1" sqref="B37 B56 B76">
      <formula1>$A$11:$A$17</formula1>
    </dataValidation>
  </dataValidations>
  <hyperlinks>
    <hyperlink ref="A97" location="'Zmiany klimatu (GHG) samochody'!A180" display="Zmiany wskaźnika emisji CO2 względem roku 2019"/>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4"/>
  <sheetViews>
    <sheetView workbookViewId="0">
      <pane xSplit="1" ySplit="2" topLeftCell="P3" activePane="bottomRight" state="frozen"/>
      <selection activeCell="C3" sqref="C3"/>
      <selection pane="topRight" activeCell="C3" sqref="C3"/>
      <selection pane="bottomLeft" activeCell="C3" sqref="C3"/>
      <selection pane="bottomRight" activeCell="P3" sqref="P3"/>
    </sheetView>
  </sheetViews>
  <sheetFormatPr defaultColWidth="0" defaultRowHeight="15" zeroHeight="1" outlineLevelCol="1"/>
  <cols>
    <col min="1" max="1" width="67" customWidth="1"/>
    <col min="2" max="15" width="12.42578125" hidden="1" customWidth="1" outlineLevel="1"/>
    <col min="16" max="16" width="12.42578125" bestFit="1" customWidth="1" collapsed="1"/>
    <col min="17" max="61" width="12.42578125" bestFit="1" customWidth="1"/>
    <col min="62" max="62" width="9.140625" customWidth="1"/>
    <col min="63" max="16384" width="9.140625" hidden="1"/>
  </cols>
  <sheetData>
    <row r="1" spans="1:61">
      <c r="A1" s="537" t="s">
        <v>553</v>
      </c>
      <c r="B1" s="41">
        <v>2001</v>
      </c>
      <c r="C1" s="41">
        <f>B1+1</f>
        <v>2002</v>
      </c>
      <c r="D1" s="41">
        <f t="shared" ref="D1:BI1" si="0">C1+1</f>
        <v>2003</v>
      </c>
      <c r="E1" s="41">
        <f t="shared" si="0"/>
        <v>2004</v>
      </c>
      <c r="F1" s="41">
        <f t="shared" si="0"/>
        <v>2005</v>
      </c>
      <c r="G1" s="41">
        <f t="shared" si="0"/>
        <v>2006</v>
      </c>
      <c r="H1" s="41">
        <f t="shared" si="0"/>
        <v>2007</v>
      </c>
      <c r="I1" s="41">
        <f t="shared" si="0"/>
        <v>2008</v>
      </c>
      <c r="J1" s="41">
        <f t="shared" si="0"/>
        <v>2009</v>
      </c>
      <c r="K1" s="41">
        <f t="shared" si="0"/>
        <v>2010</v>
      </c>
      <c r="L1" s="41">
        <f t="shared" si="0"/>
        <v>2011</v>
      </c>
      <c r="M1" s="41">
        <f t="shared" si="0"/>
        <v>2012</v>
      </c>
      <c r="N1" s="41">
        <f t="shared" si="0"/>
        <v>2013</v>
      </c>
      <c r="O1" s="41">
        <f t="shared" si="0"/>
        <v>2014</v>
      </c>
      <c r="P1" s="41">
        <f t="shared" si="0"/>
        <v>2015</v>
      </c>
      <c r="Q1" s="41">
        <f t="shared" si="0"/>
        <v>2016</v>
      </c>
      <c r="R1" s="41">
        <f t="shared" si="0"/>
        <v>2017</v>
      </c>
      <c r="S1" s="41">
        <f t="shared" si="0"/>
        <v>2018</v>
      </c>
      <c r="T1" s="41">
        <f t="shared" si="0"/>
        <v>2019</v>
      </c>
      <c r="U1" s="41">
        <f t="shared" si="0"/>
        <v>2020</v>
      </c>
      <c r="V1" s="41">
        <f t="shared" si="0"/>
        <v>2021</v>
      </c>
      <c r="W1" s="41">
        <f t="shared" si="0"/>
        <v>2022</v>
      </c>
      <c r="X1" s="41">
        <f t="shared" si="0"/>
        <v>2023</v>
      </c>
      <c r="Y1" s="41">
        <f t="shared" si="0"/>
        <v>2024</v>
      </c>
      <c r="Z1" s="41">
        <f t="shared" si="0"/>
        <v>2025</v>
      </c>
      <c r="AA1" s="41">
        <f t="shared" si="0"/>
        <v>2026</v>
      </c>
      <c r="AB1" s="41">
        <f t="shared" si="0"/>
        <v>2027</v>
      </c>
      <c r="AC1" s="41">
        <f t="shared" si="0"/>
        <v>2028</v>
      </c>
      <c r="AD1" s="41">
        <f t="shared" si="0"/>
        <v>2029</v>
      </c>
      <c r="AE1" s="41">
        <f t="shared" si="0"/>
        <v>2030</v>
      </c>
      <c r="AF1" s="41">
        <f t="shared" si="0"/>
        <v>2031</v>
      </c>
      <c r="AG1" s="41">
        <f t="shared" si="0"/>
        <v>2032</v>
      </c>
      <c r="AH1" s="41">
        <f t="shared" si="0"/>
        <v>2033</v>
      </c>
      <c r="AI1" s="41">
        <f t="shared" si="0"/>
        <v>2034</v>
      </c>
      <c r="AJ1" s="41">
        <f t="shared" si="0"/>
        <v>2035</v>
      </c>
      <c r="AK1" s="41">
        <f t="shared" si="0"/>
        <v>2036</v>
      </c>
      <c r="AL1" s="41">
        <f t="shared" si="0"/>
        <v>2037</v>
      </c>
      <c r="AM1" s="41">
        <f t="shared" si="0"/>
        <v>2038</v>
      </c>
      <c r="AN1" s="41">
        <f t="shared" si="0"/>
        <v>2039</v>
      </c>
      <c r="AO1" s="41">
        <f t="shared" si="0"/>
        <v>2040</v>
      </c>
      <c r="AP1" s="41">
        <f t="shared" si="0"/>
        <v>2041</v>
      </c>
      <c r="AQ1" s="41">
        <f t="shared" si="0"/>
        <v>2042</v>
      </c>
      <c r="AR1" s="41">
        <f t="shared" si="0"/>
        <v>2043</v>
      </c>
      <c r="AS1" s="41">
        <f t="shared" si="0"/>
        <v>2044</v>
      </c>
      <c r="AT1" s="41">
        <f t="shared" si="0"/>
        <v>2045</v>
      </c>
      <c r="AU1" s="41">
        <f t="shared" si="0"/>
        <v>2046</v>
      </c>
      <c r="AV1" s="41">
        <f t="shared" si="0"/>
        <v>2047</v>
      </c>
      <c r="AW1" s="41">
        <f t="shared" si="0"/>
        <v>2048</v>
      </c>
      <c r="AX1" s="41">
        <f t="shared" si="0"/>
        <v>2049</v>
      </c>
      <c r="AY1" s="41">
        <f t="shared" si="0"/>
        <v>2050</v>
      </c>
      <c r="AZ1" s="41">
        <f t="shared" si="0"/>
        <v>2051</v>
      </c>
      <c r="BA1" s="41">
        <f t="shared" si="0"/>
        <v>2052</v>
      </c>
      <c r="BB1" s="41">
        <f t="shared" si="0"/>
        <v>2053</v>
      </c>
      <c r="BC1" s="41">
        <f t="shared" si="0"/>
        <v>2054</v>
      </c>
      <c r="BD1" s="41">
        <f t="shared" si="0"/>
        <v>2055</v>
      </c>
      <c r="BE1" s="41">
        <f t="shared" si="0"/>
        <v>2056</v>
      </c>
      <c r="BF1" s="41">
        <f t="shared" si="0"/>
        <v>2057</v>
      </c>
      <c r="BG1" s="41">
        <f t="shared" si="0"/>
        <v>2058</v>
      </c>
      <c r="BH1" s="41">
        <f t="shared" si="0"/>
        <v>2059</v>
      </c>
      <c r="BI1" s="41">
        <f t="shared" si="0"/>
        <v>2060</v>
      </c>
    </row>
    <row r="2" spans="1:61">
      <c r="A2" t="s">
        <v>554</v>
      </c>
      <c r="P2" s="81"/>
      <c r="Q2" s="81"/>
      <c r="R2" s="81"/>
      <c r="S2" s="81"/>
      <c r="T2" s="81"/>
      <c r="U2" s="81"/>
      <c r="V2" s="81"/>
      <c r="W2" s="81"/>
    </row>
    <row r="3" spans="1:61">
      <c r="T3" s="552"/>
      <c r="U3" s="613"/>
      <c r="V3" s="58"/>
      <c r="W3" s="59"/>
    </row>
    <row r="4" spans="1:61" ht="15.75">
      <c r="A4" s="71" t="s">
        <v>24</v>
      </c>
      <c r="B4" s="71"/>
      <c r="C4" s="71"/>
      <c r="D4" s="71"/>
      <c r="E4" s="71"/>
      <c r="F4" s="71"/>
      <c r="G4" s="71"/>
      <c r="H4" s="71"/>
      <c r="I4" s="71"/>
      <c r="J4" s="71"/>
      <c r="K4" s="71"/>
      <c r="L4" s="71"/>
      <c r="M4" s="71"/>
      <c r="N4" s="71"/>
      <c r="O4" s="71"/>
      <c r="T4" s="552"/>
      <c r="U4" s="613"/>
      <c r="V4" s="677"/>
      <c r="W4" s="59"/>
    </row>
    <row r="5" spans="1:61">
      <c r="T5" s="552"/>
      <c r="U5" s="613"/>
      <c r="V5" s="58"/>
      <c r="W5" s="59"/>
    </row>
    <row r="6" spans="1:61">
      <c r="A6" s="42" t="s">
        <v>16</v>
      </c>
      <c r="B6" s="104">
        <v>105.5</v>
      </c>
      <c r="C6" s="104">
        <v>101.9</v>
      </c>
      <c r="D6" s="43">
        <v>100.8</v>
      </c>
      <c r="E6" s="43">
        <v>103.5</v>
      </c>
      <c r="F6" s="43">
        <v>102.1</v>
      </c>
      <c r="G6" s="43">
        <v>101</v>
      </c>
      <c r="H6" s="43">
        <v>102.5</v>
      </c>
      <c r="I6" s="43">
        <v>104.2</v>
      </c>
      <c r="J6" s="43">
        <v>103.5</v>
      </c>
      <c r="K6" s="43">
        <v>102.6</v>
      </c>
      <c r="L6" s="43">
        <v>104.3</v>
      </c>
      <c r="M6" s="43">
        <v>103.7</v>
      </c>
      <c r="N6" s="43">
        <v>100.9</v>
      </c>
      <c r="O6" s="43">
        <v>100</v>
      </c>
      <c r="P6" s="43">
        <v>99.1</v>
      </c>
      <c r="Q6" s="43">
        <v>99.4</v>
      </c>
      <c r="R6" s="38">
        <v>102</v>
      </c>
      <c r="S6" s="38">
        <v>101.6</v>
      </c>
      <c r="T6" s="38">
        <v>102.3</v>
      </c>
      <c r="U6" s="38">
        <v>103.4</v>
      </c>
      <c r="V6" s="60">
        <v>105.1</v>
      </c>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row>
    <row r="7" spans="1:61">
      <c r="A7" s="37" t="s">
        <v>909</v>
      </c>
      <c r="B7" s="37"/>
      <c r="C7" s="37"/>
      <c r="D7" s="37"/>
      <c r="E7" s="37"/>
      <c r="F7" s="37"/>
      <c r="G7" s="37"/>
      <c r="H7" s="37"/>
      <c r="I7" s="37"/>
      <c r="J7" s="37"/>
      <c r="K7" s="37"/>
      <c r="L7" s="37"/>
      <c r="M7" s="37"/>
      <c r="N7" s="37"/>
      <c r="O7" s="37"/>
      <c r="P7" s="39"/>
      <c r="Q7" s="39"/>
      <c r="T7" s="552"/>
      <c r="U7" s="613"/>
      <c r="V7" s="58"/>
      <c r="W7" s="57"/>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row>
    <row r="8" spans="1:61">
      <c r="T8" s="552"/>
      <c r="U8" s="613"/>
      <c r="V8" s="58"/>
      <c r="W8" s="82"/>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row>
    <row r="9" spans="1:61">
      <c r="A9" s="42" t="s">
        <v>555</v>
      </c>
      <c r="B9" s="104">
        <v>101.3</v>
      </c>
      <c r="C9" s="38">
        <v>102</v>
      </c>
      <c r="D9" s="38">
        <v>103.5</v>
      </c>
      <c r="E9" s="38">
        <v>105</v>
      </c>
      <c r="F9" s="38">
        <v>103.5</v>
      </c>
      <c r="G9" s="38">
        <v>106.1</v>
      </c>
      <c r="H9" s="38">
        <v>107.1</v>
      </c>
      <c r="I9" s="38">
        <v>104.2</v>
      </c>
      <c r="J9" s="38">
        <v>102.8</v>
      </c>
      <c r="K9" s="38">
        <v>103.7</v>
      </c>
      <c r="L9" s="38">
        <v>104.8</v>
      </c>
      <c r="M9" s="38">
        <v>101.3</v>
      </c>
      <c r="N9" s="38">
        <v>101.1</v>
      </c>
      <c r="O9" s="38">
        <v>103.4</v>
      </c>
      <c r="P9" s="38">
        <v>104.2</v>
      </c>
      <c r="Q9" s="43">
        <v>103.1</v>
      </c>
      <c r="R9" s="38">
        <v>104.8</v>
      </c>
      <c r="S9" s="38">
        <v>105.4</v>
      </c>
      <c r="T9" s="38">
        <v>104.7</v>
      </c>
      <c r="U9" s="38">
        <v>97.8</v>
      </c>
      <c r="V9" s="60">
        <v>105.9</v>
      </c>
      <c r="W9" s="61"/>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row>
    <row r="10" spans="1:61">
      <c r="A10" s="37" t="s">
        <v>910</v>
      </c>
      <c r="B10" s="37"/>
      <c r="C10" s="37"/>
      <c r="D10" s="37"/>
      <c r="E10" s="37"/>
      <c r="F10" s="37"/>
      <c r="G10" s="37"/>
      <c r="H10" s="37"/>
      <c r="I10" s="37"/>
      <c r="J10" s="37"/>
      <c r="K10" s="37"/>
      <c r="L10" s="37"/>
      <c r="M10" s="37"/>
      <c r="N10" s="37"/>
      <c r="O10" s="37"/>
      <c r="T10" s="81"/>
      <c r="U10" s="81"/>
      <c r="V10" s="56"/>
      <c r="W10" s="57"/>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row>
    <row r="11" spans="1:61">
      <c r="A11" s="40"/>
      <c r="B11" s="40"/>
      <c r="C11" s="40"/>
      <c r="D11" s="40"/>
      <c r="E11" s="40"/>
      <c r="F11" s="40"/>
      <c r="G11" s="40"/>
      <c r="H11" s="40"/>
      <c r="I11" s="40"/>
      <c r="J11" s="40"/>
      <c r="K11" s="40"/>
      <c r="L11" s="40"/>
      <c r="M11" s="40"/>
      <c r="N11" s="40"/>
      <c r="O11" s="40"/>
      <c r="U11" s="713"/>
      <c r="V11" s="58"/>
      <c r="W11" s="82"/>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row>
    <row r="12" spans="1:61">
      <c r="A12" s="42" t="s">
        <v>556</v>
      </c>
      <c r="B12" s="108">
        <v>38242.199999999997</v>
      </c>
      <c r="C12" s="44">
        <v>38218.5</v>
      </c>
      <c r="D12" s="44">
        <v>38190.6</v>
      </c>
      <c r="E12" s="44">
        <v>38173.800000000003</v>
      </c>
      <c r="F12" s="44">
        <v>38157.1</v>
      </c>
      <c r="G12" s="44">
        <v>38125.5</v>
      </c>
      <c r="H12" s="44">
        <v>38115.599999999999</v>
      </c>
      <c r="I12" s="44">
        <v>38135.9</v>
      </c>
      <c r="J12" s="44">
        <v>38167.300000000003</v>
      </c>
      <c r="K12" s="44">
        <v>38529.9</v>
      </c>
      <c r="L12" s="44">
        <v>38538.400000000001</v>
      </c>
      <c r="M12" s="44">
        <v>38533.300000000003</v>
      </c>
      <c r="N12" s="44">
        <v>38495.699999999997</v>
      </c>
      <c r="O12" s="44">
        <v>38478.6</v>
      </c>
      <c r="P12" s="44">
        <v>38437.199999999997</v>
      </c>
      <c r="Q12" s="44">
        <v>38433</v>
      </c>
      <c r="R12" s="45">
        <v>38433.599999999999</v>
      </c>
      <c r="S12" s="45">
        <v>38411.1</v>
      </c>
      <c r="T12" s="45">
        <v>38382.6</v>
      </c>
      <c r="U12" s="45">
        <v>38265</v>
      </c>
      <c r="V12" s="659">
        <v>38080.400000000001</v>
      </c>
      <c r="W12" s="62"/>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row>
    <row r="13" spans="1:61">
      <c r="A13" s="42" t="s">
        <v>17</v>
      </c>
      <c r="B13" s="107"/>
      <c r="C13" s="109">
        <f t="shared" ref="C13:V13" si="1">C12/B12</f>
        <v>0.99938026577968853</v>
      </c>
      <c r="D13" s="47">
        <f t="shared" si="1"/>
        <v>0.99926998704815728</v>
      </c>
      <c r="E13" s="47">
        <f t="shared" si="1"/>
        <v>0.99956010117672944</v>
      </c>
      <c r="F13" s="47">
        <f t="shared" si="1"/>
        <v>0.99956252717832639</v>
      </c>
      <c r="G13" s="47">
        <f t="shared" si="1"/>
        <v>0.99917184482049215</v>
      </c>
      <c r="H13" s="47">
        <f t="shared" si="1"/>
        <v>0.99974033127434392</v>
      </c>
      <c r="I13" s="47">
        <f t="shared" si="1"/>
        <v>1.0005325903304685</v>
      </c>
      <c r="J13" s="47">
        <f t="shared" si="1"/>
        <v>1.0008233711542143</v>
      </c>
      <c r="K13" s="47">
        <f t="shared" si="1"/>
        <v>1.009500279034671</v>
      </c>
      <c r="L13" s="47">
        <f t="shared" si="1"/>
        <v>1.0002206078915337</v>
      </c>
      <c r="M13" s="47">
        <f t="shared" si="1"/>
        <v>0.9998676644593445</v>
      </c>
      <c r="N13" s="47">
        <f t="shared" si="1"/>
        <v>0.99902422060918727</v>
      </c>
      <c r="O13" s="47">
        <f t="shared" si="1"/>
        <v>0.99955579454328669</v>
      </c>
      <c r="P13" s="47">
        <f t="shared" si="1"/>
        <v>0.99892407727931887</v>
      </c>
      <c r="Q13" s="47">
        <f t="shared" si="1"/>
        <v>0.99989073085448477</v>
      </c>
      <c r="R13" s="47">
        <f t="shared" si="1"/>
        <v>1.000015611583795</v>
      </c>
      <c r="S13" s="47">
        <f t="shared" si="1"/>
        <v>0.99941457474709627</v>
      </c>
      <c r="T13" s="47">
        <f t="shared" si="1"/>
        <v>0.99925802697657706</v>
      </c>
      <c r="U13" s="47">
        <f t="shared" si="1"/>
        <v>0.99693611167560303</v>
      </c>
      <c r="V13" s="63">
        <f t="shared" si="1"/>
        <v>0.9951757480726513</v>
      </c>
      <c r="W13" s="64"/>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c r="A14" s="37" t="s">
        <v>911</v>
      </c>
      <c r="B14" s="37"/>
      <c r="C14" s="37"/>
      <c r="D14" s="37"/>
      <c r="E14" s="37"/>
      <c r="F14" s="37"/>
      <c r="G14" s="37"/>
      <c r="H14" s="37"/>
      <c r="I14" s="37"/>
      <c r="J14" s="37"/>
      <c r="K14" s="37"/>
      <c r="L14" s="37"/>
      <c r="M14" s="37"/>
      <c r="N14" s="37"/>
      <c r="O14" s="37"/>
      <c r="T14" s="552"/>
      <c r="U14" s="613"/>
      <c r="V14" s="58"/>
      <c r="W14" s="57"/>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row>
    <row r="15" spans="1:61">
      <c r="A15" s="40"/>
      <c r="B15" s="40"/>
      <c r="C15" s="40"/>
      <c r="D15" s="40"/>
      <c r="E15" s="40"/>
      <c r="F15" s="40"/>
      <c r="G15" s="40"/>
      <c r="H15" s="40"/>
      <c r="I15" s="40"/>
      <c r="J15" s="40"/>
      <c r="K15" s="40"/>
      <c r="L15" s="40"/>
      <c r="M15" s="40"/>
      <c r="N15" s="40"/>
      <c r="O15" s="40"/>
      <c r="T15" s="552"/>
      <c r="U15" s="613"/>
      <c r="V15" s="58"/>
      <c r="W15" s="82"/>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row>
    <row r="16" spans="1:61">
      <c r="A16" s="42" t="s">
        <v>557</v>
      </c>
      <c r="B16" s="110"/>
      <c r="C16" s="111">
        <f t="shared" ref="C16:O16" si="2">(C9-100)/C13+100</f>
        <v>102.00124023705797</v>
      </c>
      <c r="D16" s="48">
        <f t="shared" si="2"/>
        <v>103.50255691191026</v>
      </c>
      <c r="E16" s="48">
        <f t="shared" si="2"/>
        <v>105.00220046209704</v>
      </c>
      <c r="F16" s="48">
        <f t="shared" si="2"/>
        <v>103.50153182500766</v>
      </c>
      <c r="G16" s="48">
        <f t="shared" si="2"/>
        <v>106.10505593369267</v>
      </c>
      <c r="H16" s="48">
        <f t="shared" si="2"/>
        <v>107.10184412681421</v>
      </c>
      <c r="I16" s="48">
        <f t="shared" si="2"/>
        <v>104.19776431131821</v>
      </c>
      <c r="J16" s="48">
        <f t="shared" si="2"/>
        <v>102.79769645743869</v>
      </c>
      <c r="K16" s="48">
        <f t="shared" si="2"/>
        <v>103.66517976947773</v>
      </c>
      <c r="L16" s="48">
        <f t="shared" si="2"/>
        <v>104.79894131567475</v>
      </c>
      <c r="M16" s="48">
        <f t="shared" si="2"/>
        <v>101.30017205897236</v>
      </c>
      <c r="N16" s="48">
        <f t="shared" si="2"/>
        <v>101.10107440571284</v>
      </c>
      <c r="O16" s="48">
        <f t="shared" si="2"/>
        <v>103.40151096973383</v>
      </c>
      <c r="P16" s="48">
        <f t="shared" ref="P16:V16" si="3">(P9-100)/P13+100</f>
        <v>104.20452374262433</v>
      </c>
      <c r="Q16" s="48">
        <f t="shared" si="3"/>
        <v>103.10033877136834</v>
      </c>
      <c r="R16" s="48">
        <f t="shared" si="3"/>
        <v>104.79992506556762</v>
      </c>
      <c r="S16" s="48">
        <f t="shared" si="3"/>
        <v>105.40316314815249</v>
      </c>
      <c r="T16" s="48">
        <f t="shared" si="3"/>
        <v>104.703489862594</v>
      </c>
      <c r="U16" s="48">
        <f t="shared" si="3"/>
        <v>97.793238729909831</v>
      </c>
      <c r="V16" s="65">
        <f t="shared" si="3"/>
        <v>105.92860106511486</v>
      </c>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row>
    <row r="17" spans="1:61">
      <c r="A17" s="37" t="s">
        <v>25</v>
      </c>
      <c r="B17" s="37"/>
      <c r="C17" s="37"/>
      <c r="D17" s="37"/>
      <c r="E17" s="37"/>
      <c r="F17" s="37"/>
      <c r="G17" s="37"/>
      <c r="H17" s="37"/>
      <c r="I17" s="37"/>
      <c r="J17" s="37"/>
      <c r="K17" s="37"/>
      <c r="L17" s="37"/>
      <c r="M17" s="37"/>
      <c r="N17" s="37"/>
      <c r="O17" s="37"/>
      <c r="T17" s="552"/>
      <c r="U17" s="613"/>
      <c r="V17" s="58"/>
    </row>
    <row r="18" spans="1:61">
      <c r="T18" s="552"/>
      <c r="U18" s="613"/>
      <c r="V18" s="58"/>
    </row>
    <row r="19" spans="1:61">
      <c r="A19" s="36" t="s">
        <v>558</v>
      </c>
      <c r="B19" s="112"/>
      <c r="C19" s="112"/>
      <c r="D19" s="112"/>
      <c r="E19" s="112"/>
      <c r="F19" s="112"/>
      <c r="G19" s="112"/>
      <c r="H19" s="112"/>
      <c r="I19" s="112"/>
      <c r="J19" s="112"/>
      <c r="K19" s="112"/>
      <c r="L19" s="112"/>
      <c r="M19" s="112"/>
      <c r="N19" s="112"/>
      <c r="O19" s="112"/>
      <c r="P19" s="112"/>
      <c r="Q19" s="112"/>
      <c r="R19" s="112"/>
      <c r="S19" s="112"/>
      <c r="T19" s="112"/>
      <c r="U19" s="112"/>
      <c r="V19" s="660">
        <f>V9</f>
        <v>105.9</v>
      </c>
      <c r="W19" s="66">
        <v>103.8</v>
      </c>
      <c r="X19" s="38">
        <v>103.2</v>
      </c>
      <c r="Y19" s="38">
        <v>103</v>
      </c>
      <c r="Z19" s="38">
        <v>103.1</v>
      </c>
      <c r="AA19" s="38">
        <v>103</v>
      </c>
      <c r="AB19" s="38">
        <v>103</v>
      </c>
      <c r="AC19" s="38">
        <v>102.9</v>
      </c>
      <c r="AD19" s="38">
        <v>102.8</v>
      </c>
      <c r="AE19" s="38">
        <v>102.7</v>
      </c>
      <c r="AF19" s="38">
        <v>102.7</v>
      </c>
      <c r="AG19" s="38">
        <v>102.6</v>
      </c>
      <c r="AH19" s="38">
        <v>102.6</v>
      </c>
      <c r="AI19" s="38">
        <v>102.5</v>
      </c>
      <c r="AJ19" s="38">
        <v>102.4</v>
      </c>
      <c r="AK19" s="38">
        <v>102.3</v>
      </c>
      <c r="AL19" s="38">
        <v>102.2</v>
      </c>
      <c r="AM19" s="38">
        <v>102.1</v>
      </c>
      <c r="AN19" s="38">
        <v>102</v>
      </c>
      <c r="AO19" s="38">
        <v>102</v>
      </c>
      <c r="AP19" s="38">
        <v>101.8</v>
      </c>
      <c r="AQ19" s="38">
        <v>101.8</v>
      </c>
      <c r="AR19" s="38">
        <v>101.8</v>
      </c>
      <c r="AS19" s="38">
        <v>101.7</v>
      </c>
      <c r="AT19" s="38">
        <v>101.6</v>
      </c>
      <c r="AU19" s="38">
        <v>101.5</v>
      </c>
      <c r="AV19" s="38">
        <v>101.5</v>
      </c>
      <c r="AW19" s="38">
        <v>101.5</v>
      </c>
      <c r="AX19" s="38">
        <v>101.5</v>
      </c>
      <c r="AY19" s="38">
        <v>101.4</v>
      </c>
      <c r="AZ19" s="38">
        <v>101.4</v>
      </c>
      <c r="BA19" s="38">
        <v>101.4</v>
      </c>
      <c r="BB19" s="38">
        <v>101.4</v>
      </c>
      <c r="BC19" s="38">
        <v>101.4</v>
      </c>
      <c r="BD19" s="38">
        <v>101.4</v>
      </c>
      <c r="BE19" s="38">
        <v>101.5</v>
      </c>
      <c r="BF19" s="38">
        <v>101.5</v>
      </c>
      <c r="BG19" s="38">
        <v>101.5</v>
      </c>
      <c r="BH19" s="38">
        <v>101.6</v>
      </c>
      <c r="BI19" s="38">
        <v>101.6</v>
      </c>
    </row>
    <row r="20" spans="1:61">
      <c r="A20" s="37" t="s">
        <v>912</v>
      </c>
      <c r="B20" s="37"/>
      <c r="C20" s="37"/>
      <c r="D20" s="37"/>
      <c r="E20" s="37"/>
      <c r="F20" s="37"/>
      <c r="G20" s="37"/>
      <c r="H20" s="37"/>
      <c r="I20" s="37"/>
      <c r="J20" s="37"/>
      <c r="K20" s="37"/>
      <c r="L20" s="37"/>
      <c r="M20" s="37"/>
      <c r="N20" s="37"/>
      <c r="O20" s="37"/>
      <c r="P20" s="81"/>
      <c r="Q20" s="81"/>
      <c r="R20" s="81"/>
      <c r="S20" s="81"/>
      <c r="T20" s="81"/>
      <c r="U20" s="81"/>
      <c r="V20" s="56"/>
      <c r="W20" s="613"/>
    </row>
    <row r="21" spans="1:61">
      <c r="A21" s="50"/>
      <c r="B21" s="50"/>
      <c r="C21" s="50"/>
      <c r="D21" s="50"/>
      <c r="E21" s="50"/>
      <c r="F21" s="50"/>
      <c r="G21" s="50"/>
      <c r="H21" s="50"/>
      <c r="I21" s="50"/>
      <c r="J21" s="50"/>
      <c r="K21" s="50"/>
      <c r="L21" s="50"/>
      <c r="M21" s="50"/>
      <c r="N21" s="50"/>
      <c r="O21" s="50"/>
      <c r="T21" s="552"/>
      <c r="U21" s="613"/>
      <c r="V21" s="58"/>
      <c r="W21" s="59"/>
      <c r="AY21" s="50"/>
    </row>
    <row r="22" spans="1:61">
      <c r="A22" s="36" t="s">
        <v>559</v>
      </c>
      <c r="B22" s="113"/>
      <c r="C22" s="113"/>
      <c r="D22" s="113"/>
      <c r="E22" s="113"/>
      <c r="F22" s="113"/>
      <c r="G22" s="113"/>
      <c r="H22" s="113"/>
      <c r="I22" s="113"/>
      <c r="J22" s="113"/>
      <c r="K22" s="113"/>
      <c r="L22" s="113"/>
      <c r="M22" s="113"/>
      <c r="N22" s="113"/>
      <c r="O22" s="113"/>
      <c r="P22" s="51">
        <v>38419006</v>
      </c>
      <c r="Q22" s="52">
        <v>38369390</v>
      </c>
      <c r="R22" s="51">
        <v>38315463</v>
      </c>
      <c r="S22" s="51">
        <v>38259532</v>
      </c>
      <c r="T22" s="51">
        <v>38200552</v>
      </c>
      <c r="U22" s="51">
        <v>38137804</v>
      </c>
      <c r="V22" s="67">
        <v>38070314</v>
      </c>
      <c r="W22" s="68">
        <v>37997408</v>
      </c>
      <c r="X22" s="51">
        <v>37918575</v>
      </c>
      <c r="Y22" s="51">
        <v>37833310</v>
      </c>
      <c r="Z22" s="51">
        <v>37741462</v>
      </c>
      <c r="AA22" s="51">
        <v>37643028</v>
      </c>
      <c r="AB22" s="51">
        <v>37538019</v>
      </c>
      <c r="AC22" s="51">
        <v>37426538</v>
      </c>
      <c r="AD22" s="51">
        <v>37308801</v>
      </c>
      <c r="AE22" s="51">
        <v>37185073</v>
      </c>
      <c r="AF22" s="51">
        <v>37054634</v>
      </c>
      <c r="AG22" s="51">
        <v>36917987</v>
      </c>
      <c r="AH22" s="51">
        <v>36775688</v>
      </c>
      <c r="AI22" s="51">
        <v>36628362</v>
      </c>
      <c r="AJ22" s="51">
        <v>36476771</v>
      </c>
      <c r="AK22" s="51">
        <v>36321005</v>
      </c>
      <c r="AL22" s="51">
        <v>36161695</v>
      </c>
      <c r="AM22" s="51">
        <v>35999436</v>
      </c>
      <c r="AN22" s="51">
        <v>35834847</v>
      </c>
      <c r="AO22" s="51">
        <v>35668232</v>
      </c>
      <c r="AP22" s="51">
        <v>35500249</v>
      </c>
      <c r="AQ22" s="51">
        <v>35330941</v>
      </c>
      <c r="AR22" s="51">
        <v>35160664</v>
      </c>
      <c r="AS22" s="51">
        <v>34989421</v>
      </c>
      <c r="AT22" s="51">
        <v>34817385</v>
      </c>
      <c r="AU22" s="51">
        <v>34644715</v>
      </c>
      <c r="AV22" s="51">
        <v>34471413</v>
      </c>
      <c r="AW22" s="51">
        <v>34297846</v>
      </c>
      <c r="AX22" s="51">
        <v>34124130</v>
      </c>
      <c r="AY22" s="51">
        <v>33950569</v>
      </c>
      <c r="AZ22" s="53">
        <f>AY22*$AY$24</f>
        <v>33783419.402831256</v>
      </c>
      <c r="BA22" s="53">
        <f t="shared" ref="BA22:BI22" si="4">AZ22*$AY$24</f>
        <v>33617092.737019971</v>
      </c>
      <c r="BB22" s="53">
        <f t="shared" si="4"/>
        <v>33451584.95100975</v>
      </c>
      <c r="BC22" s="53">
        <f t="shared" si="4"/>
        <v>33286892.01319132</v>
      </c>
      <c r="BD22" s="53">
        <f t="shared" si="4"/>
        <v>33123009.911804315</v>
      </c>
      <c r="BE22" s="53">
        <f t="shared" si="4"/>
        <v>32959934.654839564</v>
      </c>
      <c r="BF22" s="53">
        <f t="shared" si="4"/>
        <v>32797662.269941844</v>
      </c>
      <c r="BG22" s="53">
        <f t="shared" si="4"/>
        <v>32636188.804313112</v>
      </c>
      <c r="BH22" s="53">
        <f t="shared" si="4"/>
        <v>32475510.324616231</v>
      </c>
      <c r="BI22" s="53">
        <f t="shared" si="4"/>
        <v>32315622.916879144</v>
      </c>
    </row>
    <row r="23" spans="1:61">
      <c r="A23" s="36" t="s">
        <v>18</v>
      </c>
      <c r="B23" s="107"/>
      <c r="C23" s="107"/>
      <c r="D23" s="107"/>
      <c r="E23" s="107"/>
      <c r="F23" s="107"/>
      <c r="G23" s="107"/>
      <c r="H23" s="107"/>
      <c r="I23" s="107"/>
      <c r="J23" s="107"/>
      <c r="K23" s="107"/>
      <c r="L23" s="107"/>
      <c r="M23" s="107"/>
      <c r="N23" s="107"/>
      <c r="O23" s="107"/>
      <c r="P23" s="107"/>
      <c r="Q23" s="47">
        <f t="shared" ref="Q23:BI23" si="5">Q22/P22</f>
        <v>0.99870855586425111</v>
      </c>
      <c r="R23" s="54">
        <f t="shared" si="5"/>
        <v>0.99859453069230442</v>
      </c>
      <c r="S23" s="54">
        <f t="shared" si="5"/>
        <v>0.99854024992468449</v>
      </c>
      <c r="T23" s="54">
        <f t="shared" si="5"/>
        <v>0.99845842338061008</v>
      </c>
      <c r="U23" s="54">
        <f t="shared" si="5"/>
        <v>0.9983574059348671</v>
      </c>
      <c r="V23" s="69">
        <f t="shared" si="5"/>
        <v>0.99823036481072691</v>
      </c>
      <c r="W23" s="70">
        <f t="shared" si="5"/>
        <v>0.99808496457370954</v>
      </c>
      <c r="X23" s="54">
        <f t="shared" si="5"/>
        <v>0.99792530585244132</v>
      </c>
      <c r="Y23" s="54">
        <f t="shared" si="5"/>
        <v>0.9977513659202647</v>
      </c>
      <c r="Z23" s="54">
        <f t="shared" si="5"/>
        <v>0.99757229806221026</v>
      </c>
      <c r="AA23" s="54">
        <f t="shared" si="5"/>
        <v>0.99739188693856107</v>
      </c>
      <c r="AB23" s="54">
        <f t="shared" si="5"/>
        <v>0.99721039975848913</v>
      </c>
      <c r="AC23" s="54">
        <f t="shared" si="5"/>
        <v>0.99703018425133194</v>
      </c>
      <c r="AD23" s="54">
        <f t="shared" si="5"/>
        <v>0.99685418405517501</v>
      </c>
      <c r="AE23" s="54">
        <f t="shared" si="5"/>
        <v>0.99668367793432977</v>
      </c>
      <c r="AF23" s="54">
        <f t="shared" si="5"/>
        <v>0.9964921677039601</v>
      </c>
      <c r="AG23" s="54">
        <f t="shared" si="5"/>
        <v>0.99631228310067776</v>
      </c>
      <c r="AH23" s="54">
        <f t="shared" si="5"/>
        <v>0.99614553740430101</v>
      </c>
      <c r="AI23" s="54">
        <f t="shared" si="5"/>
        <v>0.99599392946775056</v>
      </c>
      <c r="AJ23" s="54">
        <f t="shared" si="5"/>
        <v>0.99586137649289364</v>
      </c>
      <c r="AK23" s="54">
        <f t="shared" si="5"/>
        <v>0.99572972070362253</v>
      </c>
      <c r="AL23" s="54">
        <f t="shared" si="5"/>
        <v>0.99561383282208182</v>
      </c>
      <c r="AM23" s="54">
        <f t="shared" si="5"/>
        <v>0.99551295922384164</v>
      </c>
      <c r="AN23" s="54">
        <f t="shared" si="5"/>
        <v>0.99542801170551676</v>
      </c>
      <c r="AO23" s="54">
        <f t="shared" si="5"/>
        <v>0.99535047547433364</v>
      </c>
      <c r="AP23" s="54">
        <f t="shared" si="5"/>
        <v>0.99529040295577309</v>
      </c>
      <c r="AQ23" s="54">
        <f t="shared" si="5"/>
        <v>0.99523079401499415</v>
      </c>
      <c r="AR23" s="54">
        <f t="shared" si="5"/>
        <v>0.99518051330701895</v>
      </c>
      <c r="AS23" s="54">
        <f t="shared" si="5"/>
        <v>0.99512969948462859</v>
      </c>
      <c r="AT23" s="54">
        <f t="shared" si="5"/>
        <v>0.99508319957623759</v>
      </c>
      <c r="AU23" s="54">
        <f t="shared" si="5"/>
        <v>0.99504069590522093</v>
      </c>
      <c r="AV23" s="54">
        <f t="shared" si="5"/>
        <v>0.99499773630696631</v>
      </c>
      <c r="AW23" s="54">
        <f t="shared" si="5"/>
        <v>0.99496490033640339</v>
      </c>
      <c r="AX23" s="54">
        <f t="shared" si="5"/>
        <v>0.99493507551465477</v>
      </c>
      <c r="AY23" s="54">
        <f t="shared" si="5"/>
        <v>0.99491383370066866</v>
      </c>
      <c r="AZ23" s="54">
        <f t="shared" si="5"/>
        <v>0.99507667759062468</v>
      </c>
      <c r="BA23" s="54">
        <f t="shared" si="5"/>
        <v>0.99507667759062468</v>
      </c>
      <c r="BB23" s="54">
        <f t="shared" si="5"/>
        <v>0.99507667759062457</v>
      </c>
      <c r="BC23" s="54">
        <f t="shared" si="5"/>
        <v>0.99507667759062457</v>
      </c>
      <c r="BD23" s="54">
        <f t="shared" si="5"/>
        <v>0.99507667759062457</v>
      </c>
      <c r="BE23" s="54">
        <f t="shared" si="5"/>
        <v>0.99507667759062457</v>
      </c>
      <c r="BF23" s="54">
        <f t="shared" si="5"/>
        <v>0.99507667759062457</v>
      </c>
      <c r="BG23" s="54">
        <f t="shared" si="5"/>
        <v>0.99507667759062457</v>
      </c>
      <c r="BH23" s="54">
        <f t="shared" si="5"/>
        <v>0.99507667759062457</v>
      </c>
      <c r="BI23" s="54">
        <f t="shared" si="5"/>
        <v>0.99507667759062457</v>
      </c>
    </row>
    <row r="24" spans="1:61">
      <c r="A24" s="37" t="s">
        <v>19</v>
      </c>
      <c r="B24" s="37"/>
      <c r="C24" s="37"/>
      <c r="D24" s="37"/>
      <c r="E24" s="37"/>
      <c r="F24" s="37"/>
      <c r="G24" s="37"/>
      <c r="H24" s="37"/>
      <c r="I24" s="37"/>
      <c r="J24" s="37"/>
      <c r="K24" s="37"/>
      <c r="L24" s="37"/>
      <c r="M24" s="37"/>
      <c r="N24" s="37"/>
      <c r="O24" s="37"/>
      <c r="T24" s="552"/>
      <c r="U24" s="613"/>
      <c r="V24" s="58"/>
      <c r="W24" s="59"/>
      <c r="AY24" s="54">
        <f>(AY22/AO22)^(1/($AY$1-$AO$1))</f>
        <v>0.99507667759062457</v>
      </c>
      <c r="AZ24" s="707" t="s">
        <v>20</v>
      </c>
    </row>
    <row r="25" spans="1:61">
      <c r="A25" s="50"/>
      <c r="B25" s="50"/>
      <c r="C25" s="50"/>
      <c r="D25" s="50"/>
      <c r="E25" s="50"/>
      <c r="F25" s="50"/>
      <c r="G25" s="50"/>
      <c r="H25" s="50"/>
      <c r="I25" s="50"/>
      <c r="J25" s="50"/>
      <c r="K25" s="50"/>
      <c r="L25" s="50"/>
      <c r="M25" s="50"/>
      <c r="N25" s="50"/>
      <c r="O25" s="50"/>
      <c r="T25" s="552"/>
      <c r="U25" s="613"/>
      <c r="V25" s="58"/>
      <c r="W25" s="59"/>
    </row>
    <row r="26" spans="1:61">
      <c r="A26" s="36" t="s">
        <v>560</v>
      </c>
      <c r="B26" s="107"/>
      <c r="C26" s="107"/>
      <c r="D26" s="107"/>
      <c r="E26" s="107"/>
      <c r="F26" s="107"/>
      <c r="G26" s="107"/>
      <c r="H26" s="107"/>
      <c r="I26" s="107"/>
      <c r="J26" s="107"/>
      <c r="K26" s="107"/>
      <c r="L26" s="107"/>
      <c r="M26" s="107"/>
      <c r="N26" s="107"/>
      <c r="O26" s="107"/>
      <c r="P26" s="107"/>
      <c r="Q26" s="107"/>
      <c r="R26" s="107"/>
      <c r="S26" s="107"/>
      <c r="T26" s="107"/>
      <c r="U26" s="107"/>
      <c r="V26" s="554"/>
      <c r="W26" s="70">
        <f t="shared" ref="W26:BI26" si="6">W19/100/W23</f>
        <v>1.0399916207968714</v>
      </c>
      <c r="X26" s="54">
        <f t="shared" si="6"/>
        <v>1.0341455356906213</v>
      </c>
      <c r="Y26" s="54">
        <f t="shared" si="6"/>
        <v>1.0323213128853912</v>
      </c>
      <c r="Z26" s="54">
        <f t="shared" si="6"/>
        <v>1.033509051928089</v>
      </c>
      <c r="AA26" s="54">
        <f t="shared" si="6"/>
        <v>1.0326933810956973</v>
      </c>
      <c r="AB26" s="54">
        <f t="shared" si="6"/>
        <v>1.0328813259964518</v>
      </c>
      <c r="AC26" s="54">
        <f t="shared" si="6"/>
        <v>1.032065043018406</v>
      </c>
      <c r="AD26" s="54">
        <f t="shared" si="6"/>
        <v>1.0312441041458287</v>
      </c>
      <c r="AE26" s="54">
        <f t="shared" si="6"/>
        <v>1.0304171952815584</v>
      </c>
      <c r="AF26" s="54">
        <f t="shared" si="6"/>
        <v>1.0306152253723517</v>
      </c>
      <c r="AG26" s="54">
        <f t="shared" si="6"/>
        <v>1.02979760201985</v>
      </c>
      <c r="AH26" s="54">
        <f t="shared" si="6"/>
        <v>1.0299699807655536</v>
      </c>
      <c r="AI26" s="54">
        <f t="shared" si="6"/>
        <v>1.0291227382758747</v>
      </c>
      <c r="AJ26" s="54">
        <f t="shared" si="6"/>
        <v>1.0282555626428667</v>
      </c>
      <c r="AK26" s="54">
        <f t="shared" si="6"/>
        <v>1.0273872304194225</v>
      </c>
      <c r="AL26" s="54">
        <f t="shared" si="6"/>
        <v>1.0265024111839891</v>
      </c>
      <c r="AM26" s="54">
        <f t="shared" si="6"/>
        <v>1.0256019176244873</v>
      </c>
      <c r="AN26" s="54">
        <f t="shared" si="6"/>
        <v>1.0246848471265972</v>
      </c>
      <c r="AO26" s="54">
        <f t="shared" si="6"/>
        <v>1.0247646684590366</v>
      </c>
      <c r="AP26" s="54">
        <f t="shared" si="6"/>
        <v>1.0228170561845917</v>
      </c>
      <c r="AQ26" s="54">
        <f t="shared" si="6"/>
        <v>1.0228783173932445</v>
      </c>
      <c r="AR26" s="54">
        <f t="shared" si="6"/>
        <v>1.0229299975108548</v>
      </c>
      <c r="AS26" s="54">
        <f t="shared" si="6"/>
        <v>1.021977336749871</v>
      </c>
      <c r="AT26" s="54">
        <f t="shared" si="6"/>
        <v>1.021020152317585</v>
      </c>
      <c r="AU26" s="54">
        <f t="shared" si="6"/>
        <v>1.0200587816929652</v>
      </c>
      <c r="AV26" s="54">
        <f t="shared" si="6"/>
        <v>1.0201028233162359</v>
      </c>
      <c r="AW26" s="54">
        <f t="shared" si="6"/>
        <v>1.0201364888920428</v>
      </c>
      <c r="AX26" s="54">
        <f t="shared" si="6"/>
        <v>1.0201670691677707</v>
      </c>
      <c r="AY26" s="54">
        <f t="shared" si="6"/>
        <v>1.0191837379809452</v>
      </c>
      <c r="AZ26" s="54">
        <f t="shared" si="6"/>
        <v>1.0190169489804488</v>
      </c>
      <c r="BA26" s="54">
        <f t="shared" si="6"/>
        <v>1.0190169489804488</v>
      </c>
      <c r="BB26" s="54">
        <f t="shared" si="6"/>
        <v>1.0190169489804488</v>
      </c>
      <c r="BC26" s="54">
        <f t="shared" si="6"/>
        <v>1.0190169489804488</v>
      </c>
      <c r="BD26" s="54">
        <f t="shared" si="6"/>
        <v>1.0190169489804488</v>
      </c>
      <c r="BE26" s="54">
        <f t="shared" si="6"/>
        <v>1.020021896661889</v>
      </c>
      <c r="BF26" s="54">
        <f t="shared" si="6"/>
        <v>1.020021896661889</v>
      </c>
      <c r="BG26" s="54">
        <f t="shared" si="6"/>
        <v>1.020021896661889</v>
      </c>
      <c r="BH26" s="54">
        <f t="shared" si="6"/>
        <v>1.0210268443433295</v>
      </c>
      <c r="BI26" s="54">
        <f t="shared" si="6"/>
        <v>1.0210268443433295</v>
      </c>
    </row>
    <row r="27" spans="1:61">
      <c r="A27" s="37" t="s">
        <v>21</v>
      </c>
      <c r="B27" s="37"/>
      <c r="C27" s="37"/>
      <c r="D27" s="37"/>
      <c r="E27" s="37"/>
      <c r="F27" s="37"/>
      <c r="G27" s="37"/>
      <c r="H27" s="37"/>
      <c r="I27" s="37"/>
      <c r="J27" s="37"/>
      <c r="K27" s="37"/>
      <c r="L27" s="37"/>
      <c r="M27" s="37"/>
      <c r="N27" s="37"/>
      <c r="O27" s="37"/>
      <c r="T27" s="552"/>
      <c r="U27" s="613"/>
      <c r="V27" s="58"/>
      <c r="W27" s="59"/>
    </row>
    <row r="28" spans="1:61">
      <c r="T28" s="552"/>
      <c r="U28" s="613"/>
      <c r="V28" s="58"/>
      <c r="W28" s="59"/>
    </row>
    <row r="29" spans="1:61" s="613" customFormat="1">
      <c r="A29" s="1" t="s">
        <v>529</v>
      </c>
      <c r="V29" s="58"/>
      <c r="W29" s="163"/>
    </row>
    <row r="30" spans="1:61" s="613" customFormat="1" ht="15" customHeight="1">
      <c r="A30" s="715" t="s">
        <v>561</v>
      </c>
      <c r="B30" s="715"/>
      <c r="C30" s="715"/>
      <c r="D30" s="715"/>
      <c r="E30" s="715"/>
      <c r="F30" s="715"/>
      <c r="G30" s="715"/>
      <c r="H30" s="715"/>
      <c r="I30" s="715"/>
      <c r="J30" s="715"/>
      <c r="K30" s="715"/>
      <c r="L30" s="715"/>
      <c r="M30" s="715"/>
      <c r="N30" s="715"/>
      <c r="O30" s="715"/>
      <c r="P30" s="715"/>
      <c r="Q30" s="715"/>
      <c r="R30" s="715"/>
      <c r="S30" s="715"/>
      <c r="T30" s="715"/>
      <c r="U30" s="715"/>
      <c r="V30" s="58"/>
      <c r="W30" s="163"/>
    </row>
    <row r="31" spans="1:61" s="613" customFormat="1">
      <c r="A31" s="715"/>
      <c r="B31" s="715"/>
      <c r="C31" s="715"/>
      <c r="D31" s="715"/>
      <c r="E31" s="715"/>
      <c r="F31" s="715"/>
      <c r="G31" s="715"/>
      <c r="H31" s="715"/>
      <c r="I31" s="715"/>
      <c r="J31" s="715"/>
      <c r="K31" s="715"/>
      <c r="L31" s="715"/>
      <c r="M31" s="715"/>
      <c r="N31" s="715"/>
      <c r="O31" s="715"/>
      <c r="P31" s="715"/>
      <c r="Q31" s="715"/>
      <c r="R31" s="715"/>
      <c r="S31" s="715"/>
      <c r="T31" s="715"/>
      <c r="U31" s="715"/>
      <c r="V31" s="58"/>
      <c r="W31" s="163"/>
    </row>
    <row r="32" spans="1:61" s="613" customFormat="1" ht="15" customHeight="1">
      <c r="A32" s="716" t="s">
        <v>903</v>
      </c>
      <c r="B32" s="716"/>
      <c r="C32" s="716"/>
      <c r="D32" s="716"/>
      <c r="E32" s="716"/>
      <c r="F32" s="716"/>
      <c r="G32" s="716"/>
      <c r="H32" s="716"/>
      <c r="I32" s="716"/>
      <c r="J32" s="716"/>
      <c r="K32" s="716"/>
      <c r="L32" s="716"/>
      <c r="M32" s="716"/>
      <c r="N32" s="716"/>
      <c r="O32" s="716"/>
      <c r="P32" s="716"/>
      <c r="Q32" s="716"/>
      <c r="R32" s="716"/>
      <c r="S32" s="716"/>
      <c r="T32" s="716"/>
      <c r="U32" s="716"/>
      <c r="V32" s="58"/>
      <c r="W32" s="163"/>
    </row>
    <row r="33" spans="1:23" s="613" customFormat="1">
      <c r="A33" s="716"/>
      <c r="B33" s="716"/>
      <c r="C33" s="716"/>
      <c r="D33" s="716"/>
      <c r="E33" s="716"/>
      <c r="F33" s="716"/>
      <c r="G33" s="716"/>
      <c r="H33" s="716"/>
      <c r="I33" s="716"/>
      <c r="J33" s="716"/>
      <c r="K33" s="716"/>
      <c r="L33" s="716"/>
      <c r="M33" s="716"/>
      <c r="N33" s="716"/>
      <c r="O33" s="716"/>
      <c r="P33" s="716"/>
      <c r="Q33" s="716"/>
      <c r="R33" s="716"/>
      <c r="S33" s="716"/>
      <c r="T33" s="716"/>
      <c r="U33" s="716"/>
      <c r="V33" s="58"/>
      <c r="W33" s="163"/>
    </row>
    <row r="34" spans="1:23" s="613" customFormat="1">
      <c r="A34" s="149" t="s">
        <v>562</v>
      </c>
      <c r="B34" s="707"/>
      <c r="C34" s="707"/>
      <c r="D34" s="707"/>
      <c r="E34" s="707"/>
      <c r="F34" s="707"/>
      <c r="G34" s="707"/>
      <c r="H34" s="707"/>
      <c r="I34" s="707"/>
      <c r="J34" s="707"/>
      <c r="K34" s="707"/>
      <c r="L34" s="707"/>
      <c r="M34" s="707"/>
      <c r="N34" s="707"/>
      <c r="O34" s="707"/>
      <c r="P34" s="707"/>
      <c r="Q34" s="707"/>
      <c r="R34" s="707"/>
      <c r="S34" s="707"/>
      <c r="T34" s="707"/>
      <c r="U34" s="707"/>
      <c r="V34" s="58"/>
      <c r="W34" s="163"/>
    </row>
    <row r="35" spans="1:23" s="613" customFormat="1">
      <c r="A35" s="149" t="s">
        <v>563</v>
      </c>
      <c r="B35" s="707"/>
      <c r="C35" s="707"/>
      <c r="D35" s="707"/>
      <c r="E35" s="707"/>
      <c r="F35" s="707"/>
      <c r="G35" s="707"/>
      <c r="H35" s="707"/>
      <c r="I35" s="707"/>
      <c r="J35" s="707"/>
      <c r="K35" s="707"/>
      <c r="L35" s="707"/>
      <c r="M35" s="707"/>
      <c r="N35" s="707"/>
      <c r="O35" s="707"/>
      <c r="P35" s="707"/>
      <c r="Q35" s="707"/>
      <c r="R35" s="707"/>
      <c r="S35" s="707"/>
      <c r="T35" s="707"/>
      <c r="U35" s="707"/>
      <c r="V35" s="58"/>
      <c r="W35" s="163"/>
    </row>
    <row r="36" spans="1:23" s="613" customFormat="1">
      <c r="A36" s="678" t="s">
        <v>564</v>
      </c>
      <c r="B36" s="707"/>
      <c r="C36" s="707"/>
      <c r="D36" s="707"/>
      <c r="E36" s="707"/>
      <c r="F36" s="707"/>
      <c r="G36" s="707"/>
      <c r="H36" s="707"/>
      <c r="I36" s="707"/>
      <c r="J36" s="707"/>
      <c r="K36" s="707"/>
      <c r="L36" s="707"/>
      <c r="M36" s="707"/>
      <c r="N36" s="707"/>
      <c r="O36" s="707"/>
      <c r="P36" s="707"/>
      <c r="Q36" s="707"/>
      <c r="R36" s="707"/>
      <c r="S36" s="707"/>
      <c r="T36" s="707"/>
      <c r="U36" s="707"/>
      <c r="V36" s="58"/>
      <c r="W36" s="163"/>
    </row>
    <row r="37" spans="1:23" s="613" customFormat="1" ht="15" customHeight="1">
      <c r="A37" s="716" t="s">
        <v>565</v>
      </c>
      <c r="B37" s="716"/>
      <c r="C37" s="716"/>
      <c r="D37" s="716"/>
      <c r="E37" s="716"/>
      <c r="F37" s="716"/>
      <c r="G37" s="716"/>
      <c r="H37" s="716"/>
      <c r="I37" s="716"/>
      <c r="J37" s="716"/>
      <c r="K37" s="716"/>
      <c r="L37" s="716"/>
      <c r="M37" s="716"/>
      <c r="N37" s="716"/>
      <c r="O37" s="716"/>
      <c r="P37" s="716"/>
      <c r="Q37" s="716"/>
      <c r="R37" s="716"/>
      <c r="S37" s="716"/>
      <c r="T37" s="716"/>
      <c r="U37" s="716"/>
      <c r="V37" s="58"/>
      <c r="W37" s="163"/>
    </row>
    <row r="38" spans="1:23" s="613" customFormat="1">
      <c r="A38" s="716"/>
      <c r="B38" s="716"/>
      <c r="C38" s="716"/>
      <c r="D38" s="716"/>
      <c r="E38" s="716"/>
      <c r="F38" s="716"/>
      <c r="G38" s="716"/>
      <c r="H38" s="716"/>
      <c r="I38" s="716"/>
      <c r="J38" s="716"/>
      <c r="K38" s="716"/>
      <c r="L38" s="716"/>
      <c r="M38" s="716"/>
      <c r="N38" s="716"/>
      <c r="O38" s="716"/>
      <c r="P38" s="716"/>
      <c r="Q38" s="716"/>
      <c r="R38" s="716"/>
      <c r="S38" s="716"/>
      <c r="T38" s="716"/>
      <c r="U38" s="716"/>
      <c r="V38" s="58"/>
      <c r="W38" s="163"/>
    </row>
    <row r="39" spans="1:23" s="613" customFormat="1">
      <c r="A39" s="716"/>
      <c r="B39" s="716"/>
      <c r="C39" s="716"/>
      <c r="D39" s="716"/>
      <c r="E39" s="716"/>
      <c r="F39" s="716"/>
      <c r="G39" s="716"/>
      <c r="H39" s="716"/>
      <c r="I39" s="716"/>
      <c r="J39" s="716"/>
      <c r="K39" s="716"/>
      <c r="L39" s="716"/>
      <c r="M39" s="716"/>
      <c r="N39" s="716"/>
      <c r="O39" s="716"/>
      <c r="P39" s="716"/>
      <c r="Q39" s="716"/>
      <c r="R39" s="716"/>
      <c r="S39" s="716"/>
      <c r="T39" s="716"/>
      <c r="U39" s="716"/>
      <c r="V39" s="58"/>
      <c r="W39" s="163"/>
    </row>
    <row r="40" spans="1:23" s="613" customFormat="1">
      <c r="V40" s="58"/>
      <c r="W40" s="163"/>
    </row>
    <row r="41" spans="1:23">
      <c r="A41" s="36" t="s">
        <v>26</v>
      </c>
      <c r="B41" s="106">
        <v>3.6720999999999999</v>
      </c>
      <c r="C41" s="106">
        <v>3.8574000000000002</v>
      </c>
      <c r="D41" s="106">
        <v>4.3996000000000004</v>
      </c>
      <c r="E41" s="106">
        <v>4.5267999999999997</v>
      </c>
      <c r="F41" s="106">
        <v>4.0229999999999997</v>
      </c>
      <c r="G41" s="106">
        <v>3.8959000000000001</v>
      </c>
      <c r="H41" s="106">
        <v>3.7837000000000001</v>
      </c>
      <c r="I41" s="106">
        <v>3.5121000000000002</v>
      </c>
      <c r="J41" s="106">
        <v>4.3276000000000003</v>
      </c>
      <c r="K41" s="106">
        <v>3.9946999999999999</v>
      </c>
      <c r="L41" s="106">
        <v>4.1205999999999996</v>
      </c>
      <c r="M41" s="106">
        <v>4.1847000000000003</v>
      </c>
      <c r="N41" s="106">
        <v>4.1974999999999998</v>
      </c>
      <c r="O41" s="106">
        <v>4.1843000000000004</v>
      </c>
      <c r="P41" s="106">
        <v>4.1840999999999999</v>
      </c>
      <c r="Q41" s="11">
        <v>4.3632</v>
      </c>
      <c r="R41" s="106">
        <v>4.2569999999999997</v>
      </c>
      <c r="S41" s="106">
        <v>4.2614999999999998</v>
      </c>
      <c r="T41" s="106">
        <v>4.2976000000000001</v>
      </c>
      <c r="U41" s="106">
        <v>4.4429999999999996</v>
      </c>
      <c r="V41" s="553">
        <v>4.5651999999999999</v>
      </c>
    </row>
    <row r="42" spans="1:23">
      <c r="A42" s="35" t="s">
        <v>4</v>
      </c>
      <c r="B42" s="35"/>
      <c r="C42" s="35"/>
      <c r="D42" s="35"/>
      <c r="E42" s="35"/>
      <c r="F42" s="35"/>
      <c r="G42" s="35"/>
      <c r="H42" s="35"/>
      <c r="I42" s="35"/>
      <c r="J42" s="35"/>
      <c r="K42" s="35"/>
      <c r="L42" s="35"/>
      <c r="M42" s="35"/>
      <c r="N42" s="35"/>
      <c r="O42" s="35"/>
      <c r="T42" s="552"/>
      <c r="U42" s="613"/>
      <c r="V42" s="58"/>
      <c r="W42" s="59"/>
    </row>
    <row r="43" spans="1:23">
      <c r="B43" s="658"/>
      <c r="T43" s="552"/>
      <c r="U43" s="613"/>
      <c r="V43" s="58"/>
      <c r="W43" s="59"/>
    </row>
    <row r="44" spans="1:23" s="487" customFormat="1">
      <c r="A44" s="36" t="s">
        <v>566</v>
      </c>
      <c r="B44" s="488">
        <v>46.8</v>
      </c>
      <c r="C44" s="488">
        <v>47.6</v>
      </c>
      <c r="D44" s="488">
        <v>48.3</v>
      </c>
      <c r="E44" s="488">
        <v>50.1</v>
      </c>
      <c r="F44" s="488">
        <v>50.4</v>
      </c>
      <c r="G44" s="488">
        <v>50.7</v>
      </c>
      <c r="H44" s="488">
        <v>53.1</v>
      </c>
      <c r="I44" s="488">
        <v>55.4</v>
      </c>
      <c r="J44" s="488">
        <v>59.1</v>
      </c>
      <c r="K44" s="675">
        <v>62.4</v>
      </c>
      <c r="L44" s="488">
        <v>64.900000000000006</v>
      </c>
      <c r="M44" s="488">
        <v>66.400000000000006</v>
      </c>
      <c r="N44" s="488">
        <v>66.400000000000006</v>
      </c>
      <c r="O44" s="488">
        <v>66.900000000000006</v>
      </c>
      <c r="P44" s="488">
        <v>68.400000000000006</v>
      </c>
      <c r="Q44" s="489">
        <v>68.2</v>
      </c>
      <c r="R44" s="488">
        <v>68.900000000000006</v>
      </c>
      <c r="S44" s="488">
        <v>70.3</v>
      </c>
      <c r="T44" s="488">
        <v>72.2</v>
      </c>
      <c r="U44"/>
      <c r="V44" s="58"/>
      <c r="W44" s="59"/>
    </row>
    <row r="45" spans="1:23" s="487" customFormat="1">
      <c r="A45" s="37" t="s">
        <v>508</v>
      </c>
      <c r="T45" s="552"/>
      <c r="U45" s="613"/>
      <c r="V45" s="163"/>
      <c r="W45" s="59"/>
    </row>
    <row r="46" spans="1:23" s="487" customFormat="1">
      <c r="A46" s="715" t="s">
        <v>567</v>
      </c>
      <c r="B46" s="715"/>
      <c r="C46" s="715"/>
      <c r="D46" s="715"/>
      <c r="E46" s="715"/>
      <c r="F46" s="715"/>
      <c r="G46" s="715"/>
      <c r="H46" s="715"/>
      <c r="I46" s="715"/>
      <c r="J46" s="715"/>
      <c r="K46" s="715"/>
      <c r="L46" s="715"/>
      <c r="M46" s="715"/>
      <c r="N46" s="715"/>
      <c r="O46" s="715"/>
      <c r="P46" s="715"/>
      <c r="Q46" s="715"/>
      <c r="R46" s="715"/>
      <c r="S46" s="715"/>
      <c r="T46" s="715"/>
      <c r="U46" s="715"/>
      <c r="V46" s="163"/>
      <c r="W46" s="59"/>
    </row>
    <row r="47" spans="1:23" s="613" customFormat="1">
      <c r="A47" s="715"/>
      <c r="B47" s="715"/>
      <c r="C47" s="715"/>
      <c r="D47" s="715"/>
      <c r="E47" s="715"/>
      <c r="F47" s="715"/>
      <c r="G47" s="715"/>
      <c r="H47" s="715"/>
      <c r="I47" s="715"/>
      <c r="J47" s="715"/>
      <c r="K47" s="715"/>
      <c r="L47" s="715"/>
      <c r="M47" s="715"/>
      <c r="N47" s="715"/>
      <c r="O47" s="715"/>
      <c r="P47" s="715"/>
      <c r="Q47" s="715"/>
      <c r="R47" s="715"/>
      <c r="S47" s="715"/>
      <c r="T47" s="715"/>
      <c r="U47" s="715"/>
      <c r="V47" s="163"/>
      <c r="W47" s="59"/>
    </row>
    <row r="48" spans="1:23" s="613" customFormat="1">
      <c r="V48" s="163"/>
      <c r="W48" s="59"/>
    </row>
    <row r="49" spans="1:61" s="548" customFormat="1">
      <c r="A49" s="42" t="s">
        <v>387</v>
      </c>
      <c r="B49" s="104"/>
      <c r="C49" s="104"/>
      <c r="D49" s="104"/>
      <c r="E49" s="104"/>
      <c r="F49" s="104"/>
      <c r="G49" s="43">
        <v>103.2</v>
      </c>
      <c r="H49" s="43">
        <v>107.4</v>
      </c>
      <c r="I49" s="43">
        <v>104.8</v>
      </c>
      <c r="J49" s="43">
        <v>100.2</v>
      </c>
      <c r="K49" s="43">
        <v>99.9</v>
      </c>
      <c r="L49" s="43">
        <v>101</v>
      </c>
      <c r="M49" s="43">
        <v>100.2</v>
      </c>
      <c r="N49" s="43">
        <v>98.2</v>
      </c>
      <c r="O49" s="43">
        <v>98.8</v>
      </c>
      <c r="P49" s="489">
        <v>99.5</v>
      </c>
      <c r="Q49" s="489">
        <v>99.6</v>
      </c>
      <c r="R49" s="489">
        <v>100.6</v>
      </c>
      <c r="S49" s="489">
        <v>102.7</v>
      </c>
      <c r="T49" s="489">
        <v>103.5</v>
      </c>
      <c r="U49" s="489">
        <v>102.6</v>
      </c>
      <c r="V49" s="489">
        <v>104.2</v>
      </c>
      <c r="W49" s="61"/>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row>
    <row r="50" spans="1:61" s="548" customFormat="1">
      <c r="A50" s="37" t="s">
        <v>909</v>
      </c>
      <c r="B50" s="37"/>
      <c r="C50" s="37"/>
      <c r="D50" s="37"/>
      <c r="E50" s="37"/>
      <c r="F50" s="37"/>
      <c r="G50" s="37"/>
      <c r="H50" s="37"/>
      <c r="I50" s="37"/>
      <c r="J50" s="37"/>
      <c r="K50" s="37"/>
      <c r="L50" s="37"/>
      <c r="M50" s="37"/>
      <c r="N50" s="37"/>
      <c r="O50" s="37"/>
      <c r="P50" s="39"/>
      <c r="Q50" s="39"/>
      <c r="T50" s="552"/>
      <c r="U50" s="613"/>
      <c r="V50" s="58"/>
      <c r="W50" s="57"/>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row>
    <row r="51" spans="1:61" s="548" customFormat="1">
      <c r="T51" s="552"/>
      <c r="U51" s="613"/>
      <c r="V51" s="58"/>
      <c r="W51" s="59"/>
    </row>
    <row r="52" spans="1:61" s="548" customFormat="1">
      <c r="T52" s="552"/>
      <c r="U52" s="613"/>
      <c r="V52" s="58"/>
      <c r="W52" s="59"/>
    </row>
    <row r="53" spans="1:61" ht="15.75">
      <c r="A53" s="71" t="s">
        <v>22</v>
      </c>
      <c r="B53" s="71"/>
      <c r="C53" s="71"/>
      <c r="D53" s="71"/>
      <c r="E53" s="71"/>
      <c r="F53" s="71"/>
      <c r="G53" s="71"/>
      <c r="H53" s="71"/>
      <c r="I53" s="71"/>
      <c r="J53" s="71"/>
      <c r="K53" s="71"/>
      <c r="L53" s="71"/>
      <c r="M53" s="71"/>
      <c r="N53" s="71"/>
      <c r="O53" s="71"/>
      <c r="T53" s="552"/>
      <c r="U53" s="613"/>
      <c r="V53" s="58"/>
      <c r="W53" s="59"/>
    </row>
    <row r="54" spans="1:61">
      <c r="A54" s="72" t="s">
        <v>568</v>
      </c>
      <c r="B54" s="40"/>
      <c r="C54" s="40"/>
      <c r="D54" s="40"/>
      <c r="E54" s="40"/>
      <c r="F54" s="40"/>
      <c r="G54" s="40"/>
      <c r="H54" s="40"/>
      <c r="I54" s="40"/>
      <c r="J54" s="40"/>
      <c r="K54" s="40"/>
      <c r="L54" s="40"/>
      <c r="M54" s="40"/>
      <c r="N54" s="40"/>
      <c r="O54" s="40"/>
      <c r="P54" s="50"/>
      <c r="Q54" s="79"/>
      <c r="T54" s="552"/>
      <c r="U54" s="613"/>
      <c r="V54" s="58"/>
      <c r="W54" s="59"/>
    </row>
    <row r="55" spans="1:61">
      <c r="A55" s="73" t="s">
        <v>569</v>
      </c>
      <c r="B55" s="114"/>
      <c r="C55" s="114"/>
      <c r="D55" s="114"/>
      <c r="E55" s="114"/>
      <c r="F55" s="114"/>
      <c r="G55" s="114"/>
      <c r="H55" s="114"/>
      <c r="I55" s="114"/>
      <c r="J55" s="114"/>
      <c r="K55" s="114"/>
      <c r="L55" s="114"/>
      <c r="M55" s="114"/>
      <c r="N55" s="114"/>
      <c r="O55" s="114"/>
      <c r="P55" s="77">
        <v>0.5</v>
      </c>
      <c r="Q55" s="84"/>
      <c r="T55" s="552"/>
      <c r="U55" s="613"/>
      <c r="V55" s="58"/>
      <c r="W55" s="86"/>
    </row>
    <row r="56" spans="1:61">
      <c r="A56" s="36" t="s">
        <v>570</v>
      </c>
      <c r="B56" s="101"/>
      <c r="C56" s="101"/>
      <c r="D56" s="80">
        <f t="shared" ref="D56:V56" si="7">($P$55*(D16/100-1)+1)*D6/100</f>
        <v>1.0256528868360277</v>
      </c>
      <c r="E56" s="80">
        <f t="shared" si="7"/>
        <v>1.0608863873913521</v>
      </c>
      <c r="F56" s="80">
        <f t="shared" si="7"/>
        <v>1.038875319966664</v>
      </c>
      <c r="G56" s="80">
        <f t="shared" si="7"/>
        <v>1.0408305324651481</v>
      </c>
      <c r="H56" s="80">
        <f t="shared" si="7"/>
        <v>1.0613969511499228</v>
      </c>
      <c r="I56" s="80">
        <f t="shared" si="7"/>
        <v>1.0638703520619681</v>
      </c>
      <c r="J56" s="80">
        <f t="shared" si="7"/>
        <v>1.0494780791672451</v>
      </c>
      <c r="K56" s="80">
        <f t="shared" si="7"/>
        <v>1.0448023722174207</v>
      </c>
      <c r="L56" s="80">
        <f t="shared" si="7"/>
        <v>1.0680264789612437</v>
      </c>
      <c r="M56" s="80">
        <f t="shared" si="7"/>
        <v>1.0437413921257719</v>
      </c>
      <c r="N56" s="80">
        <f t="shared" si="7"/>
        <v>1.0145549203768214</v>
      </c>
      <c r="O56" s="80">
        <f t="shared" si="7"/>
        <v>1.0170075548486692</v>
      </c>
      <c r="P56" s="80">
        <f t="shared" si="7"/>
        <v>1.0118334151447033</v>
      </c>
      <c r="Q56" s="80">
        <f t="shared" si="7"/>
        <v>1.0094086836937008</v>
      </c>
      <c r="R56" s="80">
        <f t="shared" si="7"/>
        <v>1.0444796178343949</v>
      </c>
      <c r="S56" s="80">
        <f t="shared" si="7"/>
        <v>1.0434480687926146</v>
      </c>
      <c r="T56" s="80">
        <f t="shared" si="7"/>
        <v>1.0470583506471682</v>
      </c>
      <c r="U56" s="80">
        <f t="shared" si="7"/>
        <v>1.0225910442336339</v>
      </c>
      <c r="V56" s="87">
        <f t="shared" si="7"/>
        <v>1.0821547985971784</v>
      </c>
      <c r="W56" s="88">
        <f t="shared" ref="W56:BI56" si="8">$P$55*(W26-1)+1</f>
        <v>1.0199958103984357</v>
      </c>
      <c r="X56" s="80">
        <f t="shared" si="8"/>
        <v>1.0170727678453106</v>
      </c>
      <c r="Y56" s="80">
        <f t="shared" si="8"/>
        <v>1.0161606564426955</v>
      </c>
      <c r="Z56" s="80">
        <f t="shared" si="8"/>
        <v>1.0167545259640445</v>
      </c>
      <c r="AA56" s="80">
        <f t="shared" si="8"/>
        <v>1.0163466905478487</v>
      </c>
      <c r="AB56" s="80">
        <f t="shared" si="8"/>
        <v>1.0164406629982259</v>
      </c>
      <c r="AC56" s="80">
        <f t="shared" si="8"/>
        <v>1.016032521509203</v>
      </c>
      <c r="AD56" s="80">
        <f t="shared" si="8"/>
        <v>1.0156220520729144</v>
      </c>
      <c r="AE56" s="80">
        <f t="shared" si="8"/>
        <v>1.0152085976407792</v>
      </c>
      <c r="AF56" s="80">
        <f t="shared" si="8"/>
        <v>1.015307612686176</v>
      </c>
      <c r="AG56" s="80">
        <f t="shared" si="8"/>
        <v>1.0148988010099251</v>
      </c>
      <c r="AH56" s="80">
        <f t="shared" si="8"/>
        <v>1.0149849903827768</v>
      </c>
      <c r="AI56" s="80">
        <f t="shared" si="8"/>
        <v>1.0145613691379374</v>
      </c>
      <c r="AJ56" s="80">
        <f t="shared" si="8"/>
        <v>1.0141277813214333</v>
      </c>
      <c r="AK56" s="80">
        <f t="shared" si="8"/>
        <v>1.0136936152097111</v>
      </c>
      <c r="AL56" s="80">
        <f t="shared" si="8"/>
        <v>1.0132512055919944</v>
      </c>
      <c r="AM56" s="80">
        <f t="shared" si="8"/>
        <v>1.0128009588122437</v>
      </c>
      <c r="AN56" s="80">
        <f t="shared" si="8"/>
        <v>1.0123424235632985</v>
      </c>
      <c r="AO56" s="80">
        <f t="shared" si="8"/>
        <v>1.0123823342295184</v>
      </c>
      <c r="AP56" s="80">
        <f t="shared" si="8"/>
        <v>1.011408528092296</v>
      </c>
      <c r="AQ56" s="80">
        <f t="shared" si="8"/>
        <v>1.0114391586966223</v>
      </c>
      <c r="AR56" s="80">
        <f t="shared" si="8"/>
        <v>1.0114649987554274</v>
      </c>
      <c r="AS56" s="80">
        <f t="shared" si="8"/>
        <v>1.0109886683749356</v>
      </c>
      <c r="AT56" s="80">
        <f t="shared" si="8"/>
        <v>1.0105100761587926</v>
      </c>
      <c r="AU56" s="80">
        <f t="shared" si="8"/>
        <v>1.0100293908464826</v>
      </c>
      <c r="AV56" s="80">
        <f t="shared" si="8"/>
        <v>1.0100514116581181</v>
      </c>
      <c r="AW56" s="80">
        <f t="shared" si="8"/>
        <v>1.0100682444460214</v>
      </c>
      <c r="AX56" s="80">
        <f t="shared" si="8"/>
        <v>1.0100835345838854</v>
      </c>
      <c r="AY56" s="80">
        <f t="shared" si="8"/>
        <v>1.0095918689904726</v>
      </c>
      <c r="AZ56" s="80">
        <f t="shared" si="8"/>
        <v>1.0095084744902243</v>
      </c>
      <c r="BA56" s="80">
        <f t="shared" si="8"/>
        <v>1.0095084744902243</v>
      </c>
      <c r="BB56" s="80">
        <f t="shared" si="8"/>
        <v>1.0095084744902243</v>
      </c>
      <c r="BC56" s="80">
        <f t="shared" si="8"/>
        <v>1.0095084744902243</v>
      </c>
      <c r="BD56" s="80">
        <f t="shared" si="8"/>
        <v>1.0095084744902243</v>
      </c>
      <c r="BE56" s="80">
        <f t="shared" si="8"/>
        <v>1.0100109483309445</v>
      </c>
      <c r="BF56" s="80">
        <f t="shared" si="8"/>
        <v>1.0100109483309445</v>
      </c>
      <c r="BG56" s="80">
        <f t="shared" si="8"/>
        <v>1.0100109483309445</v>
      </c>
      <c r="BH56" s="80">
        <f t="shared" si="8"/>
        <v>1.0105134221716647</v>
      </c>
      <c r="BI56" s="80">
        <f t="shared" si="8"/>
        <v>1.0105134221716647</v>
      </c>
    </row>
    <row r="57" spans="1:61">
      <c r="A57" s="72" t="s">
        <v>39</v>
      </c>
      <c r="B57" s="40"/>
      <c r="C57" s="40"/>
      <c r="D57" s="40"/>
      <c r="E57" s="40"/>
      <c r="F57" s="40"/>
      <c r="G57" s="40"/>
      <c r="H57" s="40"/>
      <c r="I57" s="115"/>
      <c r="J57" s="115"/>
      <c r="K57" s="115"/>
      <c r="L57" s="115"/>
      <c r="M57" s="115"/>
      <c r="N57" s="115"/>
      <c r="O57" s="115"/>
      <c r="P57" s="115"/>
      <c r="Q57" s="115"/>
      <c r="R57" s="115"/>
      <c r="S57" s="115"/>
      <c r="T57" s="115"/>
      <c r="U57" s="115"/>
      <c r="V57" s="116"/>
      <c r="W57" s="117"/>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row>
    <row r="58" spans="1:61">
      <c r="A58" s="36" t="s">
        <v>40</v>
      </c>
      <c r="B58" s="101"/>
      <c r="C58" s="101"/>
      <c r="D58" s="80">
        <f>D$6/100</f>
        <v>1.008</v>
      </c>
      <c r="E58" s="80">
        <f t="shared" ref="E58:V58" si="9">E$6/100</f>
        <v>1.0349999999999999</v>
      </c>
      <c r="F58" s="80">
        <f t="shared" si="9"/>
        <v>1.0209999999999999</v>
      </c>
      <c r="G58" s="80">
        <f t="shared" si="9"/>
        <v>1.01</v>
      </c>
      <c r="H58" s="80">
        <f t="shared" si="9"/>
        <v>1.0249999999999999</v>
      </c>
      <c r="I58" s="80">
        <f t="shared" si="9"/>
        <v>1.042</v>
      </c>
      <c r="J58" s="80">
        <f t="shared" si="9"/>
        <v>1.0349999999999999</v>
      </c>
      <c r="K58" s="80">
        <f t="shared" si="9"/>
        <v>1.026</v>
      </c>
      <c r="L58" s="80">
        <f t="shared" si="9"/>
        <v>1.0429999999999999</v>
      </c>
      <c r="M58" s="80">
        <f t="shared" si="9"/>
        <v>1.0369999999999999</v>
      </c>
      <c r="N58" s="80">
        <f t="shared" si="9"/>
        <v>1.0090000000000001</v>
      </c>
      <c r="O58" s="80">
        <f t="shared" si="9"/>
        <v>1</v>
      </c>
      <c r="P58" s="80">
        <f t="shared" si="9"/>
        <v>0.99099999999999999</v>
      </c>
      <c r="Q58" s="80">
        <f t="shared" si="9"/>
        <v>0.99400000000000011</v>
      </c>
      <c r="R58" s="80">
        <f t="shared" si="9"/>
        <v>1.02</v>
      </c>
      <c r="S58" s="80">
        <f t="shared" si="9"/>
        <v>1.016</v>
      </c>
      <c r="T58" s="80">
        <f t="shared" si="9"/>
        <v>1.0229999999999999</v>
      </c>
      <c r="U58" s="80">
        <f t="shared" si="9"/>
        <v>1.034</v>
      </c>
      <c r="V58" s="87">
        <f t="shared" si="9"/>
        <v>1.0509999999999999</v>
      </c>
      <c r="W58" s="89">
        <v>1</v>
      </c>
      <c r="X58" s="85">
        <v>1</v>
      </c>
      <c r="Y58" s="85">
        <v>1</v>
      </c>
      <c r="Z58" s="85">
        <v>1</v>
      </c>
      <c r="AA58" s="85">
        <v>1</v>
      </c>
      <c r="AB58" s="85">
        <v>1</v>
      </c>
      <c r="AC58" s="85">
        <v>1</v>
      </c>
      <c r="AD58" s="85">
        <v>1</v>
      </c>
      <c r="AE58" s="85">
        <v>1</v>
      </c>
      <c r="AF58" s="85">
        <v>1</v>
      </c>
      <c r="AG58" s="85">
        <v>1</v>
      </c>
      <c r="AH58" s="85">
        <v>1</v>
      </c>
      <c r="AI58" s="85">
        <v>1</v>
      </c>
      <c r="AJ58" s="85">
        <v>1</v>
      </c>
      <c r="AK58" s="85">
        <v>1</v>
      </c>
      <c r="AL58" s="85">
        <v>1</v>
      </c>
      <c r="AM58" s="85">
        <v>1</v>
      </c>
      <c r="AN58" s="85">
        <v>1</v>
      </c>
      <c r="AO58" s="85">
        <v>1</v>
      </c>
      <c r="AP58" s="85">
        <v>1</v>
      </c>
      <c r="AQ58" s="85">
        <v>1</v>
      </c>
      <c r="AR58" s="85">
        <v>1</v>
      </c>
      <c r="AS58" s="85">
        <v>1</v>
      </c>
      <c r="AT58" s="85">
        <v>1</v>
      </c>
      <c r="AU58" s="85">
        <v>1</v>
      </c>
      <c r="AV58" s="85">
        <v>1</v>
      </c>
      <c r="AW58" s="85">
        <v>1</v>
      </c>
      <c r="AX58" s="85">
        <v>1</v>
      </c>
      <c r="AY58" s="85">
        <v>1</v>
      </c>
      <c r="AZ58" s="85">
        <v>1</v>
      </c>
      <c r="BA58" s="85">
        <v>1</v>
      </c>
      <c r="BB58" s="85">
        <v>1</v>
      </c>
      <c r="BC58" s="85">
        <v>1</v>
      </c>
      <c r="BD58" s="85">
        <v>1</v>
      </c>
      <c r="BE58" s="85">
        <v>1</v>
      </c>
      <c r="BF58" s="85">
        <v>1</v>
      </c>
      <c r="BG58" s="85">
        <v>1</v>
      </c>
      <c r="BH58" s="85">
        <v>1</v>
      </c>
      <c r="BI58" s="85">
        <v>1</v>
      </c>
    </row>
    <row r="59" spans="1:61" ht="15" customHeight="1">
      <c r="A59" s="74" t="s">
        <v>571</v>
      </c>
      <c r="B59" s="40"/>
      <c r="C59" s="40"/>
      <c r="D59" s="40"/>
      <c r="E59" s="40"/>
      <c r="F59" s="40"/>
      <c r="G59" s="40"/>
      <c r="H59" s="40"/>
      <c r="I59" s="40"/>
      <c r="J59" s="40"/>
      <c r="K59" s="40"/>
      <c r="L59" s="40"/>
      <c r="M59" s="40"/>
      <c r="N59" s="40"/>
      <c r="O59" s="40"/>
      <c r="P59" s="50"/>
      <c r="Q59" s="79"/>
      <c r="T59" s="552"/>
      <c r="U59" s="613"/>
      <c r="V59" s="58"/>
      <c r="W59" s="59"/>
    </row>
    <row r="60" spans="1:61" ht="15" customHeight="1">
      <c r="A60" s="73" t="s">
        <v>572</v>
      </c>
      <c r="B60" s="114"/>
      <c r="C60" s="114"/>
      <c r="D60" s="114"/>
      <c r="E60" s="114"/>
      <c r="F60" s="114"/>
      <c r="G60" s="114"/>
      <c r="H60" s="114"/>
      <c r="I60" s="114"/>
      <c r="J60" s="114"/>
      <c r="K60" s="114"/>
      <c r="L60" s="114"/>
      <c r="M60" s="114"/>
      <c r="N60" s="114"/>
      <c r="O60" s="114"/>
      <c r="P60" s="78">
        <v>0.8</v>
      </c>
      <c r="Q60" s="84"/>
      <c r="T60" s="552"/>
      <c r="U60" s="613"/>
      <c r="V60" s="58"/>
      <c r="W60" s="59"/>
    </row>
    <row r="61" spans="1:61">
      <c r="A61" s="36" t="s">
        <v>573</v>
      </c>
      <c r="B61" s="101"/>
      <c r="C61" s="101"/>
      <c r="D61" s="80">
        <f t="shared" ref="D61:V61" si="10">($P$60*(D16/100-1)+1)*D6/100</f>
        <v>1.0362446189376444</v>
      </c>
      <c r="E61" s="80">
        <f t="shared" si="10"/>
        <v>1.0764182198261636</v>
      </c>
      <c r="F61" s="80">
        <f t="shared" si="10"/>
        <v>1.0496005119466623</v>
      </c>
      <c r="G61" s="80">
        <f t="shared" si="10"/>
        <v>1.0593288519442365</v>
      </c>
      <c r="H61" s="80">
        <f t="shared" si="10"/>
        <v>1.0832351218398764</v>
      </c>
      <c r="I61" s="80">
        <f t="shared" si="10"/>
        <v>1.0769925632991486</v>
      </c>
      <c r="J61" s="80">
        <f t="shared" si="10"/>
        <v>1.0581649266675923</v>
      </c>
      <c r="K61" s="80">
        <f t="shared" si="10"/>
        <v>1.056083795547873</v>
      </c>
      <c r="L61" s="80">
        <f t="shared" si="10"/>
        <v>1.0830423663379902</v>
      </c>
      <c r="M61" s="80">
        <f t="shared" si="10"/>
        <v>1.0477862274012348</v>
      </c>
      <c r="N61" s="80">
        <f t="shared" si="10"/>
        <v>1.0178878726029139</v>
      </c>
      <c r="O61" s="80">
        <f t="shared" si="10"/>
        <v>1.0272120877578708</v>
      </c>
      <c r="P61" s="80">
        <f t="shared" si="10"/>
        <v>1.0243334642315254</v>
      </c>
      <c r="Q61" s="80">
        <f t="shared" si="10"/>
        <v>1.018653893909921</v>
      </c>
      <c r="R61" s="80">
        <f t="shared" si="10"/>
        <v>1.0591673885350317</v>
      </c>
      <c r="S61" s="80">
        <f t="shared" si="10"/>
        <v>1.0599169100681833</v>
      </c>
      <c r="T61" s="80">
        <f t="shared" si="10"/>
        <v>1.0614933610354693</v>
      </c>
      <c r="U61" s="80">
        <f t="shared" si="10"/>
        <v>1.0157456707738142</v>
      </c>
      <c r="V61" s="87">
        <f t="shared" si="10"/>
        <v>1.1008476777554856</v>
      </c>
      <c r="W61" s="88">
        <f t="shared" ref="W61:BI61" si="11">$P$60*(W26-1)+1</f>
        <v>1.0319932966374972</v>
      </c>
      <c r="X61" s="80">
        <f t="shared" si="11"/>
        <v>1.0273164285524969</v>
      </c>
      <c r="Y61" s="80">
        <f t="shared" si="11"/>
        <v>1.0258570503083129</v>
      </c>
      <c r="Z61" s="80">
        <f t="shared" si="11"/>
        <v>1.0268072415424712</v>
      </c>
      <c r="AA61" s="80">
        <f t="shared" si="11"/>
        <v>1.0261547048765578</v>
      </c>
      <c r="AB61" s="80">
        <f t="shared" si="11"/>
        <v>1.0263050607971613</v>
      </c>
      <c r="AC61" s="80">
        <f t="shared" si="11"/>
        <v>1.0256520344147249</v>
      </c>
      <c r="AD61" s="80">
        <f t="shared" si="11"/>
        <v>1.0249952833166629</v>
      </c>
      <c r="AE61" s="80">
        <f t="shared" si="11"/>
        <v>1.0243337562252468</v>
      </c>
      <c r="AF61" s="80">
        <f t="shared" si="11"/>
        <v>1.0244921802978815</v>
      </c>
      <c r="AG61" s="80">
        <f t="shared" si="11"/>
        <v>1.0238380816158801</v>
      </c>
      <c r="AH61" s="80">
        <f t="shared" si="11"/>
        <v>1.0239759846124428</v>
      </c>
      <c r="AI61" s="80">
        <f t="shared" si="11"/>
        <v>1.0232981906206997</v>
      </c>
      <c r="AJ61" s="80">
        <f t="shared" si="11"/>
        <v>1.0226044501142932</v>
      </c>
      <c r="AK61" s="80">
        <f t="shared" si="11"/>
        <v>1.021909784335538</v>
      </c>
      <c r="AL61" s="80">
        <f t="shared" si="11"/>
        <v>1.0212019289471912</v>
      </c>
      <c r="AM61" s="80">
        <f t="shared" si="11"/>
        <v>1.0204815340995899</v>
      </c>
      <c r="AN61" s="80">
        <f t="shared" si="11"/>
        <v>1.0197478777012778</v>
      </c>
      <c r="AO61" s="80">
        <f t="shared" si="11"/>
        <v>1.0198117347672293</v>
      </c>
      <c r="AP61" s="80">
        <f t="shared" si="11"/>
        <v>1.0182536449476733</v>
      </c>
      <c r="AQ61" s="80">
        <f t="shared" si="11"/>
        <v>1.0183026539145956</v>
      </c>
      <c r="AR61" s="80">
        <f t="shared" si="11"/>
        <v>1.0183439980086839</v>
      </c>
      <c r="AS61" s="80">
        <f t="shared" si="11"/>
        <v>1.0175818693998968</v>
      </c>
      <c r="AT61" s="80">
        <f t="shared" si="11"/>
        <v>1.0168161218540681</v>
      </c>
      <c r="AU61" s="80">
        <f t="shared" si="11"/>
        <v>1.0160470253543721</v>
      </c>
      <c r="AV61" s="80">
        <f t="shared" si="11"/>
        <v>1.0160822586529887</v>
      </c>
      <c r="AW61" s="80">
        <f t="shared" si="11"/>
        <v>1.0161091911136342</v>
      </c>
      <c r="AX61" s="80">
        <f t="shared" si="11"/>
        <v>1.0161336553342166</v>
      </c>
      <c r="AY61" s="80">
        <f t="shared" si="11"/>
        <v>1.0153469903847561</v>
      </c>
      <c r="AZ61" s="80">
        <f t="shared" si="11"/>
        <v>1.015213559184359</v>
      </c>
      <c r="BA61" s="80">
        <f t="shared" si="11"/>
        <v>1.015213559184359</v>
      </c>
      <c r="BB61" s="80">
        <f t="shared" si="11"/>
        <v>1.015213559184359</v>
      </c>
      <c r="BC61" s="80">
        <f t="shared" si="11"/>
        <v>1.015213559184359</v>
      </c>
      <c r="BD61" s="80">
        <f t="shared" si="11"/>
        <v>1.015213559184359</v>
      </c>
      <c r="BE61" s="80">
        <f t="shared" si="11"/>
        <v>1.0160175173295112</v>
      </c>
      <c r="BF61" s="80">
        <f t="shared" si="11"/>
        <v>1.0160175173295112</v>
      </c>
      <c r="BG61" s="80">
        <f t="shared" si="11"/>
        <v>1.0160175173295112</v>
      </c>
      <c r="BH61" s="80">
        <f t="shared" si="11"/>
        <v>1.0168214754746636</v>
      </c>
      <c r="BI61" s="80">
        <f t="shared" si="11"/>
        <v>1.0168214754746636</v>
      </c>
    </row>
    <row r="62" spans="1:61">
      <c r="A62" s="74" t="s">
        <v>574</v>
      </c>
      <c r="B62" s="40"/>
      <c r="C62" s="40"/>
      <c r="D62" s="40"/>
      <c r="E62" s="40"/>
      <c r="F62" s="40"/>
      <c r="G62" s="40"/>
      <c r="H62" s="40"/>
      <c r="I62" s="40"/>
      <c r="J62" s="40"/>
      <c r="K62" s="40"/>
      <c r="L62" s="40"/>
      <c r="M62" s="40"/>
      <c r="N62" s="40"/>
      <c r="O62" s="40"/>
      <c r="P62" s="50"/>
      <c r="Q62" s="79"/>
      <c r="T62" s="552"/>
      <c r="U62" s="613"/>
      <c r="V62" s="58"/>
      <c r="W62" s="59"/>
    </row>
    <row r="63" spans="1:61" ht="30">
      <c r="A63" s="119" t="s">
        <v>575</v>
      </c>
      <c r="B63" s="105"/>
      <c r="C63" s="105"/>
      <c r="D63" s="105"/>
      <c r="E63" s="105"/>
      <c r="F63" s="105"/>
      <c r="G63" s="105"/>
      <c r="H63" s="105"/>
      <c r="I63" s="105"/>
      <c r="J63" s="105"/>
      <c r="K63" s="105"/>
      <c r="L63" s="105"/>
      <c r="M63" s="105"/>
      <c r="N63" s="105"/>
      <c r="O63" s="105"/>
      <c r="P63" s="105"/>
      <c r="Q63" s="519">
        <v>1</v>
      </c>
      <c r="R63" s="80">
        <f t="shared" ref="R63:AP63" si="12">Q63*R61</f>
        <v>1.0591673885350317</v>
      </c>
      <c r="S63" s="80">
        <f t="shared" si="12"/>
        <v>1.1226294257010379</v>
      </c>
      <c r="T63" s="80">
        <f t="shared" si="12"/>
        <v>1.1916636822847133</v>
      </c>
      <c r="U63" s="80">
        <f t="shared" ref="U63" si="13">T63*U61</f>
        <v>1.2104272262990794</v>
      </c>
      <c r="V63" s="87">
        <f t="shared" ref="V63" si="14">U63*V61</f>
        <v>1.3324960011633553</v>
      </c>
      <c r="W63" s="88">
        <f t="shared" ref="W63" si="15">V63*W61</f>
        <v>1.3751269409968534</v>
      </c>
      <c r="X63" s="80">
        <f t="shared" si="12"/>
        <v>1.4126904978312076</v>
      </c>
      <c r="Y63" s="80">
        <f t="shared" si="12"/>
        <v>1.4492185071037047</v>
      </c>
      <c r="Z63" s="80">
        <f t="shared" si="12"/>
        <v>1.4880680576714531</v>
      </c>
      <c r="AA63" s="80">
        <f t="shared" si="12"/>
        <v>1.5269880385560826</v>
      </c>
      <c r="AB63" s="80">
        <f t="shared" si="12"/>
        <v>1.5671555517468385</v>
      </c>
      <c r="AC63" s="80">
        <f t="shared" si="12"/>
        <v>1.6073562798934755</v>
      </c>
      <c r="AD63" s="80">
        <f t="shared" si="12"/>
        <v>1.6475326055002302</v>
      </c>
      <c r="AE63" s="80">
        <f t="shared" si="12"/>
        <v>1.6876232622956184</v>
      </c>
      <c r="AF63" s="80">
        <f t="shared" si="12"/>
        <v>1.7289568355106617</v>
      </c>
      <c r="AG63" s="80">
        <f t="shared" si="12"/>
        <v>1.7701718496658987</v>
      </c>
      <c r="AH63" s="80">
        <f t="shared" si="12"/>
        <v>1.8126134626948676</v>
      </c>
      <c r="AI63" s="80">
        <f t="shared" si="12"/>
        <v>1.8548440766703791</v>
      </c>
      <c r="AJ63" s="80">
        <f t="shared" si="12"/>
        <v>1.8967718070712669</v>
      </c>
      <c r="AK63" s="80">
        <f t="shared" si="12"/>
        <v>1.9383296682979272</v>
      </c>
      <c r="AL63" s="80">
        <f t="shared" si="12"/>
        <v>1.9794259962014125</v>
      </c>
      <c r="AM63" s="80">
        <f t="shared" si="12"/>
        <v>2.0199676772402264</v>
      </c>
      <c r="AN63" s="80">
        <f t="shared" si="12"/>
        <v>2.0598577518909007</v>
      </c>
      <c r="AO63" s="80">
        <f t="shared" si="12"/>
        <v>2.1006671073295844</v>
      </c>
      <c r="AP63" s="80">
        <f t="shared" si="12"/>
        <v>2.1390119388600346</v>
      </c>
      <c r="AQ63" s="80">
        <f t="shared" ref="AQ63:BI63" si="16">AP63*AQ61</f>
        <v>2.1781615340961782</v>
      </c>
      <c r="AR63" s="80">
        <f t="shared" si="16"/>
        <v>2.2181177249402304</v>
      </c>
      <c r="AS63" s="80">
        <f t="shared" si="16"/>
        <v>2.2571163810937258</v>
      </c>
      <c r="AT63" s="80">
        <f t="shared" si="16"/>
        <v>2.2950723251970113</v>
      </c>
      <c r="AU63" s="80">
        <f t="shared" si="16"/>
        <v>2.3319014089895655</v>
      </c>
      <c r="AV63" s="80">
        <f t="shared" si="16"/>
        <v>2.3694036506022047</v>
      </c>
      <c r="AW63" s="80">
        <f t="shared" si="16"/>
        <v>2.4075728268350982</v>
      </c>
      <c r="AX63" s="80">
        <f t="shared" si="16"/>
        <v>2.4464157770152815</v>
      </c>
      <c r="AY63" s="80">
        <f t="shared" si="16"/>
        <v>2.4839608964222504</v>
      </c>
      <c r="AZ63" s="80">
        <f t="shared" si="16"/>
        <v>2.5217507825316035</v>
      </c>
      <c r="BA63" s="80">
        <f t="shared" si="16"/>
        <v>2.5601155873098516</v>
      </c>
      <c r="BB63" s="80">
        <f t="shared" si="16"/>
        <v>2.5990640573161898</v>
      </c>
      <c r="BC63" s="80">
        <f t="shared" si="16"/>
        <v>2.6386050721761096</v>
      </c>
      <c r="BD63" s="80">
        <f t="shared" si="16"/>
        <v>2.6787476466058107</v>
      </c>
      <c r="BE63" s="80">
        <f t="shared" si="16"/>
        <v>2.7216545334567064</v>
      </c>
      <c r="BF63" s="80">
        <f t="shared" si="16"/>
        <v>2.765248682111292</v>
      </c>
      <c r="BG63" s="80">
        <f t="shared" si="16"/>
        <v>2.8095411007974178</v>
      </c>
      <c r="BH63" s="80">
        <f t="shared" si="16"/>
        <v>2.856801727519541</v>
      </c>
      <c r="BI63" s="80">
        <f t="shared" si="16"/>
        <v>2.9048573477149877</v>
      </c>
    </row>
    <row r="64" spans="1:61">
      <c r="A64" s="72" t="s">
        <v>388</v>
      </c>
      <c r="B64" s="40"/>
      <c r="C64" s="40"/>
      <c r="D64" s="40"/>
      <c r="E64" s="40"/>
      <c r="F64" s="40"/>
      <c r="G64" s="40"/>
      <c r="H64" s="40"/>
      <c r="I64" s="115"/>
      <c r="J64" s="115"/>
      <c r="K64" s="115"/>
      <c r="L64" s="115"/>
      <c r="M64" s="115"/>
      <c r="N64" s="115"/>
      <c r="O64" s="115"/>
      <c r="P64" s="115"/>
      <c r="Q64" s="115"/>
      <c r="R64" s="115"/>
      <c r="S64" s="115"/>
      <c r="T64" s="115"/>
      <c r="U64" s="115"/>
      <c r="V64" s="116"/>
      <c r="W64" s="117"/>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row>
    <row r="65" spans="1:61">
      <c r="A65" s="36" t="s">
        <v>389</v>
      </c>
      <c r="B65" s="101"/>
      <c r="C65" s="101"/>
      <c r="D65" s="101"/>
      <c r="E65" s="101"/>
      <c r="F65" s="101"/>
      <c r="G65" s="101"/>
      <c r="H65" s="101"/>
      <c r="I65" s="101"/>
      <c r="J65" s="101"/>
      <c r="K65" s="101"/>
      <c r="L65" s="101"/>
      <c r="M65" s="101"/>
      <c r="N65" s="519">
        <v>1</v>
      </c>
      <c r="O65" s="80">
        <f>O49/100</f>
        <v>0.98799999999999999</v>
      </c>
      <c r="P65" s="80">
        <f t="shared" ref="P65:V65" si="17">P49/100</f>
        <v>0.995</v>
      </c>
      <c r="Q65" s="80">
        <f t="shared" si="17"/>
        <v>0.996</v>
      </c>
      <c r="R65" s="80">
        <f t="shared" si="17"/>
        <v>1.006</v>
      </c>
      <c r="S65" s="80">
        <f t="shared" si="17"/>
        <v>1.0270000000000001</v>
      </c>
      <c r="T65" s="80">
        <f t="shared" si="17"/>
        <v>1.0349999999999999</v>
      </c>
      <c r="U65" s="80">
        <f t="shared" si="17"/>
        <v>1.026</v>
      </c>
      <c r="V65" s="87">
        <f t="shared" si="17"/>
        <v>1.042</v>
      </c>
      <c r="W65" s="89">
        <v>1</v>
      </c>
      <c r="X65" s="85">
        <v>1</v>
      </c>
      <c r="Y65" s="85">
        <v>1</v>
      </c>
      <c r="Z65" s="85">
        <v>1</v>
      </c>
      <c r="AA65" s="85">
        <v>1</v>
      </c>
      <c r="AB65" s="85">
        <v>1</v>
      </c>
      <c r="AC65" s="85">
        <v>1</v>
      </c>
      <c r="AD65" s="85">
        <v>1</v>
      </c>
      <c r="AE65" s="85">
        <v>1</v>
      </c>
      <c r="AF65" s="85">
        <v>1</v>
      </c>
      <c r="AG65" s="85">
        <v>1</v>
      </c>
      <c r="AH65" s="85">
        <v>1</v>
      </c>
      <c r="AI65" s="85">
        <v>1</v>
      </c>
      <c r="AJ65" s="85">
        <v>1</v>
      </c>
      <c r="AK65" s="85">
        <v>1</v>
      </c>
      <c r="AL65" s="85">
        <v>1</v>
      </c>
      <c r="AM65" s="85">
        <v>1</v>
      </c>
      <c r="AN65" s="85">
        <v>1</v>
      </c>
      <c r="AO65" s="85">
        <v>1</v>
      </c>
      <c r="AP65" s="85">
        <v>1</v>
      </c>
      <c r="AQ65" s="85">
        <v>1</v>
      </c>
      <c r="AR65" s="85">
        <v>1</v>
      </c>
      <c r="AS65" s="85">
        <v>1</v>
      </c>
      <c r="AT65" s="85">
        <v>1</v>
      </c>
      <c r="AU65" s="85">
        <v>1</v>
      </c>
      <c r="AV65" s="85">
        <v>1</v>
      </c>
      <c r="AW65" s="85">
        <v>1</v>
      </c>
      <c r="AX65" s="85">
        <v>1</v>
      </c>
      <c r="AY65" s="85">
        <v>1</v>
      </c>
      <c r="AZ65" s="85">
        <v>1</v>
      </c>
      <c r="BA65" s="85">
        <v>1</v>
      </c>
      <c r="BB65" s="85">
        <v>1</v>
      </c>
      <c r="BC65" s="85">
        <v>1</v>
      </c>
      <c r="BD65" s="85">
        <v>1</v>
      </c>
      <c r="BE65" s="85">
        <v>1</v>
      </c>
      <c r="BF65" s="85">
        <v>1</v>
      </c>
      <c r="BG65" s="85">
        <v>1</v>
      </c>
      <c r="BH65" s="85">
        <v>1</v>
      </c>
      <c r="BI65" s="85">
        <v>1</v>
      </c>
    </row>
    <row r="66" spans="1:61">
      <c r="B66" s="76"/>
      <c r="C66" s="76"/>
      <c r="D66" s="76"/>
      <c r="E66" s="76"/>
      <c r="F66" s="76"/>
      <c r="G66" s="76"/>
      <c r="H66" s="76"/>
      <c r="I66" s="76"/>
      <c r="J66" s="76"/>
      <c r="K66" s="76"/>
      <c r="L66" s="76"/>
      <c r="M66" s="76"/>
      <c r="N66" s="76"/>
      <c r="O66" s="76"/>
    </row>
    <row r="67" spans="1:61" ht="18.75">
      <c r="A67" s="75" t="s">
        <v>576</v>
      </c>
      <c r="B67" s="76"/>
      <c r="C67" s="76"/>
      <c r="D67" s="76"/>
      <c r="E67" s="76"/>
      <c r="F67" s="76"/>
      <c r="G67" s="76"/>
      <c r="H67" s="76"/>
      <c r="I67" s="76"/>
      <c r="J67" s="76"/>
      <c r="K67" s="76"/>
      <c r="L67" s="76"/>
      <c r="M67" s="76"/>
      <c r="N67" s="76"/>
      <c r="O67" s="76"/>
    </row>
    <row r="68" spans="1:61" s="613" customFormat="1" ht="18.75" customHeight="1">
      <c r="A68" s="717" t="s">
        <v>577</v>
      </c>
      <c r="B68" s="717"/>
      <c r="C68" s="717"/>
      <c r="D68" s="717"/>
      <c r="E68" s="717"/>
      <c r="F68" s="717"/>
      <c r="G68" s="717"/>
      <c r="H68" s="717"/>
      <c r="I68" s="717"/>
      <c r="J68" s="717"/>
      <c r="K68" s="717"/>
      <c r="L68" s="717"/>
      <c r="M68" s="717"/>
      <c r="N68" s="717"/>
      <c r="O68" s="717"/>
      <c r="P68" s="717"/>
      <c r="Q68" s="717"/>
      <c r="R68" s="717"/>
      <c r="S68" s="717"/>
      <c r="T68" s="717"/>
      <c r="U68" s="717"/>
    </row>
    <row r="69" spans="1:61" s="613" customFormat="1" ht="18.75" customHeight="1">
      <c r="A69" s="717"/>
      <c r="B69" s="717"/>
      <c r="C69" s="717"/>
      <c r="D69" s="717"/>
      <c r="E69" s="717"/>
      <c r="F69" s="717"/>
      <c r="G69" s="717"/>
      <c r="H69" s="717"/>
      <c r="I69" s="717"/>
      <c r="J69" s="717"/>
      <c r="K69" s="717"/>
      <c r="L69" s="717"/>
      <c r="M69" s="717"/>
      <c r="N69" s="717"/>
      <c r="O69" s="717"/>
      <c r="P69" s="717"/>
      <c r="Q69" s="717"/>
      <c r="R69" s="717"/>
      <c r="S69" s="717"/>
      <c r="T69" s="717"/>
      <c r="U69" s="717"/>
    </row>
    <row r="70" spans="1:61">
      <c r="A70" s="76" t="s">
        <v>578</v>
      </c>
    </row>
    <row r="71" spans="1:61">
      <c r="A71" s="714" t="s">
        <v>23</v>
      </c>
      <c r="B71" s="714"/>
      <c r="C71" s="714"/>
      <c r="D71" s="714"/>
      <c r="E71" s="714"/>
      <c r="F71" s="714"/>
      <c r="G71" s="714"/>
      <c r="H71" s="714"/>
      <c r="I71" s="714"/>
      <c r="J71" s="714"/>
      <c r="K71" s="714"/>
      <c r="L71" s="714"/>
      <c r="M71" s="714"/>
      <c r="N71" s="714"/>
      <c r="O71" s="714"/>
      <c r="P71" s="714"/>
      <c r="Q71" s="714"/>
      <c r="R71" s="714"/>
      <c r="S71" s="714"/>
      <c r="T71" s="714"/>
      <c r="U71" s="714"/>
    </row>
    <row r="72" spans="1:61">
      <c r="A72" s="714"/>
      <c r="B72" s="714"/>
      <c r="C72" s="714"/>
      <c r="D72" s="714"/>
      <c r="E72" s="714"/>
      <c r="F72" s="714"/>
      <c r="G72" s="714"/>
      <c r="H72" s="714"/>
      <c r="I72" s="714"/>
      <c r="J72" s="714"/>
      <c r="K72" s="714"/>
      <c r="L72" s="714"/>
      <c r="M72" s="714"/>
      <c r="N72" s="714"/>
      <c r="O72" s="714"/>
      <c r="P72" s="714"/>
      <c r="Q72" s="714"/>
      <c r="R72" s="714"/>
      <c r="S72" s="714"/>
      <c r="T72" s="714"/>
      <c r="U72" s="714"/>
    </row>
    <row r="73" spans="1:61"/>
    <row r="74" spans="1:61" hidden="1"/>
    <row r="75" spans="1:61" hidden="1"/>
    <row r="76" spans="1:61" hidden="1"/>
    <row r="77" spans="1:61" hidden="1"/>
    <row r="78" spans="1:61" hidden="1"/>
    <row r="79" spans="1:61" hidden="1"/>
    <row r="80" spans="1:6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sheetData>
  <mergeCells count="6">
    <mergeCell ref="A71:U72"/>
    <mergeCell ref="A30:U31"/>
    <mergeCell ref="A32:U33"/>
    <mergeCell ref="A37:U39"/>
    <mergeCell ref="A46:U47"/>
    <mergeCell ref="A68:U6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Col="1"/>
  <cols>
    <col min="1" max="1" width="30.7109375" customWidth="1"/>
    <col min="2" max="2" width="11" customWidth="1"/>
    <col min="3" max="15" width="1.7109375" hidden="1" customWidth="1" outlineLevel="1"/>
    <col min="16" max="16" width="11.7109375" customWidth="1" collapsed="1"/>
    <col min="17" max="62" width="9.140625" customWidth="1"/>
    <col min="63" max="16384" width="9.140625" hidden="1"/>
  </cols>
  <sheetData>
    <row r="1" spans="1:61" ht="21">
      <c r="A1" s="4" t="s">
        <v>579</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40" t="str">
        <f>Indeksacja!$A$2</f>
        <v>Dla roku bazowego 2022 właściwe do zastosowania w analizie są wartości kosztów jednostkowych określone według poziomu cenowego z końca roku poprzedniego, tzn. 2021.</v>
      </c>
    </row>
    <row r="3" spans="1:61"/>
    <row r="4" spans="1:61" s="557" customFormat="1">
      <c r="A4" s="206" t="s">
        <v>580</v>
      </c>
    </row>
    <row r="5" spans="1:61" s="557" customFormat="1">
      <c r="A5" s="9" t="s">
        <v>339</v>
      </c>
      <c r="B5" s="679"/>
      <c r="C5" s="559"/>
      <c r="D5" s="559"/>
      <c r="E5" s="559"/>
      <c r="F5" s="559"/>
      <c r="G5" s="559"/>
      <c r="H5" s="559"/>
      <c r="I5" s="559"/>
      <c r="J5" s="559"/>
      <c r="K5" s="559"/>
      <c r="L5" s="559"/>
      <c r="M5" s="559"/>
      <c r="N5" s="559"/>
      <c r="O5" s="559"/>
      <c r="P5" s="680" t="s">
        <v>329</v>
      </c>
      <c r="Q5" s="6"/>
      <c r="R5" s="6"/>
      <c r="S5" s="6"/>
      <c r="T5" s="6">
        <v>2019</v>
      </c>
    </row>
    <row r="6" spans="1:61" s="557" customFormat="1">
      <c r="A6" s="8" t="s">
        <v>340</v>
      </c>
      <c r="B6" s="129" t="s">
        <v>361</v>
      </c>
      <c r="C6" s="13"/>
      <c r="D6" s="13"/>
      <c r="E6" s="13"/>
      <c r="F6" s="13"/>
      <c r="G6" s="13"/>
      <c r="H6" s="13"/>
      <c r="I6" s="13"/>
      <c r="J6" s="13"/>
      <c r="K6" s="13"/>
      <c r="L6" s="13"/>
      <c r="M6" s="13"/>
      <c r="N6" s="13"/>
      <c r="O6" s="13"/>
      <c r="P6" s="13"/>
      <c r="Q6" s="93"/>
      <c r="R6" s="93"/>
      <c r="S6" s="93"/>
      <c r="T6" s="7">
        <v>100.98</v>
      </c>
    </row>
    <row r="7" spans="1:61" s="557" customFormat="1">
      <c r="A7" s="8" t="s">
        <v>341</v>
      </c>
      <c r="B7" s="129" t="s">
        <v>361</v>
      </c>
      <c r="C7" s="13"/>
      <c r="D7" s="13"/>
      <c r="E7" s="13"/>
      <c r="F7" s="13"/>
      <c r="G7" s="13"/>
      <c r="H7" s="13"/>
      <c r="I7" s="13"/>
      <c r="J7" s="13"/>
      <c r="K7" s="13"/>
      <c r="L7" s="13"/>
      <c r="M7" s="13"/>
      <c r="N7" s="13"/>
      <c r="O7" s="13"/>
      <c r="P7" s="13"/>
      <c r="Q7" s="93"/>
      <c r="R7" s="93"/>
      <c r="S7" s="93"/>
      <c r="T7" s="7">
        <v>51.19</v>
      </c>
    </row>
    <row r="8" spans="1:61" s="557" customFormat="1">
      <c r="A8" s="8" t="s">
        <v>342</v>
      </c>
      <c r="B8" s="129" t="s">
        <v>361</v>
      </c>
      <c r="C8" s="13"/>
      <c r="D8" s="13"/>
      <c r="E8" s="13"/>
      <c r="F8" s="13"/>
      <c r="G8" s="13"/>
      <c r="H8" s="13"/>
      <c r="I8" s="13"/>
      <c r="J8" s="13"/>
      <c r="K8" s="13"/>
      <c r="L8" s="13"/>
      <c r="M8" s="13"/>
      <c r="N8" s="13"/>
      <c r="O8" s="13"/>
      <c r="P8" s="13"/>
      <c r="Q8" s="93"/>
      <c r="R8" s="93"/>
      <c r="S8" s="93"/>
      <c r="T8" s="7">
        <v>45.55</v>
      </c>
    </row>
    <row r="9" spans="1:61" s="557" customFormat="1">
      <c r="A9" s="550" t="s">
        <v>592</v>
      </c>
    </row>
    <row r="10" spans="1:61" s="557" customFormat="1"/>
    <row r="11" spans="1:61" s="557" customFormat="1"/>
    <row r="12" spans="1:61" s="540" customFormat="1">
      <c r="A12" s="9" t="s">
        <v>312</v>
      </c>
      <c r="B12" s="6"/>
      <c r="C12" s="6"/>
      <c r="D12" s="6"/>
      <c r="E12" s="6"/>
      <c r="F12" s="6"/>
      <c r="G12" s="6"/>
      <c r="H12" s="6"/>
      <c r="I12" s="6"/>
      <c r="J12" s="6"/>
      <c r="K12" s="6"/>
      <c r="L12" s="6"/>
      <c r="M12" s="6"/>
      <c r="N12" s="6"/>
      <c r="O12" s="6"/>
      <c r="P12" s="6"/>
      <c r="Q12" s="6"/>
      <c r="R12" s="6"/>
      <c r="S12" s="6"/>
      <c r="T12" s="6"/>
      <c r="U12" s="6">
        <v>2020</v>
      </c>
      <c r="V12" s="6">
        <f t="shared" ref="V12:BI12" si="0">U12+1</f>
        <v>2021</v>
      </c>
      <c r="W12" s="6">
        <f t="shared" si="0"/>
        <v>2022</v>
      </c>
      <c r="X12" s="6">
        <f t="shared" si="0"/>
        <v>2023</v>
      </c>
      <c r="Y12" s="6">
        <f t="shared" si="0"/>
        <v>2024</v>
      </c>
      <c r="Z12" s="6">
        <f t="shared" si="0"/>
        <v>2025</v>
      </c>
      <c r="AA12" s="6">
        <f t="shared" si="0"/>
        <v>2026</v>
      </c>
      <c r="AB12" s="6">
        <f t="shared" si="0"/>
        <v>2027</v>
      </c>
      <c r="AC12" s="6">
        <f t="shared" si="0"/>
        <v>2028</v>
      </c>
      <c r="AD12" s="6">
        <f t="shared" si="0"/>
        <v>2029</v>
      </c>
      <c r="AE12" s="6">
        <f t="shared" si="0"/>
        <v>2030</v>
      </c>
      <c r="AF12" s="6">
        <f t="shared" si="0"/>
        <v>2031</v>
      </c>
      <c r="AG12" s="6">
        <f t="shared" si="0"/>
        <v>2032</v>
      </c>
      <c r="AH12" s="6">
        <f t="shared" si="0"/>
        <v>2033</v>
      </c>
      <c r="AI12" s="6">
        <f t="shared" si="0"/>
        <v>2034</v>
      </c>
      <c r="AJ12" s="6">
        <f t="shared" si="0"/>
        <v>2035</v>
      </c>
      <c r="AK12" s="6">
        <f t="shared" si="0"/>
        <v>2036</v>
      </c>
      <c r="AL12" s="6">
        <f t="shared" si="0"/>
        <v>2037</v>
      </c>
      <c r="AM12" s="6">
        <f t="shared" si="0"/>
        <v>2038</v>
      </c>
      <c r="AN12" s="6">
        <f t="shared" si="0"/>
        <v>2039</v>
      </c>
      <c r="AO12" s="6">
        <f t="shared" si="0"/>
        <v>2040</v>
      </c>
      <c r="AP12" s="6">
        <f t="shared" si="0"/>
        <v>2041</v>
      </c>
      <c r="AQ12" s="6">
        <f t="shared" si="0"/>
        <v>2042</v>
      </c>
      <c r="AR12" s="6">
        <f t="shared" si="0"/>
        <v>2043</v>
      </c>
      <c r="AS12" s="6">
        <f t="shared" si="0"/>
        <v>2044</v>
      </c>
      <c r="AT12" s="6">
        <f t="shared" si="0"/>
        <v>2045</v>
      </c>
      <c r="AU12" s="6">
        <f t="shared" si="0"/>
        <v>2046</v>
      </c>
      <c r="AV12" s="6">
        <f t="shared" si="0"/>
        <v>2047</v>
      </c>
      <c r="AW12" s="6">
        <f t="shared" si="0"/>
        <v>2048</v>
      </c>
      <c r="AX12" s="6">
        <f t="shared" si="0"/>
        <v>2049</v>
      </c>
      <c r="AY12" s="6">
        <f t="shared" si="0"/>
        <v>2050</v>
      </c>
      <c r="AZ12" s="6">
        <f t="shared" si="0"/>
        <v>2051</v>
      </c>
      <c r="BA12" s="6">
        <f t="shared" si="0"/>
        <v>2052</v>
      </c>
      <c r="BB12" s="6">
        <f t="shared" si="0"/>
        <v>2053</v>
      </c>
      <c r="BC12" s="6">
        <f t="shared" si="0"/>
        <v>2054</v>
      </c>
      <c r="BD12" s="6">
        <f t="shared" si="0"/>
        <v>2055</v>
      </c>
      <c r="BE12" s="6">
        <f t="shared" si="0"/>
        <v>2056</v>
      </c>
      <c r="BF12" s="6">
        <f t="shared" si="0"/>
        <v>2057</v>
      </c>
      <c r="BG12" s="6">
        <f t="shared" si="0"/>
        <v>2058</v>
      </c>
      <c r="BH12" s="6">
        <f t="shared" si="0"/>
        <v>2059</v>
      </c>
      <c r="BI12" s="6">
        <f t="shared" si="0"/>
        <v>2060</v>
      </c>
    </row>
    <row r="13" spans="1:61" s="540" customFormat="1">
      <c r="A13" s="8" t="s">
        <v>344</v>
      </c>
      <c r="B13" s="13"/>
      <c r="C13" s="13"/>
      <c r="D13" s="13"/>
      <c r="E13" s="13"/>
      <c r="F13" s="13"/>
      <c r="G13" s="13"/>
      <c r="H13" s="13"/>
      <c r="I13" s="13"/>
      <c r="J13" s="13"/>
      <c r="K13" s="13"/>
      <c r="L13" s="13"/>
      <c r="M13" s="13"/>
      <c r="N13" s="13"/>
      <c r="O13" s="13"/>
      <c r="P13" s="13"/>
      <c r="Q13" s="13"/>
      <c r="R13" s="13"/>
      <c r="S13" s="13"/>
      <c r="T13" s="13"/>
      <c r="U13" s="10">
        <f>Indeksacja!U$56</f>
        <v>1.0225910442336339</v>
      </c>
      <c r="V13" s="10">
        <f>Indeksacja!V$56</f>
        <v>1.0821547985971784</v>
      </c>
      <c r="W13" s="10">
        <f>Indeksacja!W$56</f>
        <v>1.0199958103984357</v>
      </c>
      <c r="X13" s="10">
        <f>Indeksacja!X$56</f>
        <v>1.0170727678453106</v>
      </c>
      <c r="Y13" s="10">
        <f>Indeksacja!Y$56</f>
        <v>1.0161606564426955</v>
      </c>
      <c r="Z13" s="10">
        <f>Indeksacja!Z$56</f>
        <v>1.0167545259640445</v>
      </c>
      <c r="AA13" s="10">
        <f>Indeksacja!AA$56</f>
        <v>1.0163466905478487</v>
      </c>
      <c r="AB13" s="10">
        <f>Indeksacja!AB$56</f>
        <v>1.0164406629982259</v>
      </c>
      <c r="AC13" s="10">
        <f>Indeksacja!AC$56</f>
        <v>1.016032521509203</v>
      </c>
      <c r="AD13" s="10">
        <f>Indeksacja!AD$56</f>
        <v>1.0156220520729144</v>
      </c>
      <c r="AE13" s="10">
        <f>Indeksacja!AE$56</f>
        <v>1.0152085976407792</v>
      </c>
      <c r="AF13" s="10">
        <f>Indeksacja!AF$56</f>
        <v>1.015307612686176</v>
      </c>
      <c r="AG13" s="10">
        <f>Indeksacja!AG$56</f>
        <v>1.0148988010099251</v>
      </c>
      <c r="AH13" s="10">
        <f>Indeksacja!AH$56</f>
        <v>1.0149849903827768</v>
      </c>
      <c r="AI13" s="10">
        <f>Indeksacja!AI$56</f>
        <v>1.0145613691379374</v>
      </c>
      <c r="AJ13" s="10">
        <f>Indeksacja!AJ$56</f>
        <v>1.0141277813214333</v>
      </c>
      <c r="AK13" s="10">
        <f>Indeksacja!AK$56</f>
        <v>1.0136936152097111</v>
      </c>
      <c r="AL13" s="10">
        <f>Indeksacja!AL$56</f>
        <v>1.0132512055919944</v>
      </c>
      <c r="AM13" s="10">
        <f>Indeksacja!AM$56</f>
        <v>1.0128009588122437</v>
      </c>
      <c r="AN13" s="10">
        <f>Indeksacja!AN$56</f>
        <v>1.0123424235632985</v>
      </c>
      <c r="AO13" s="10">
        <f>Indeksacja!AO$56</f>
        <v>1.0123823342295184</v>
      </c>
      <c r="AP13" s="10">
        <f>Indeksacja!AP$56</f>
        <v>1.011408528092296</v>
      </c>
      <c r="AQ13" s="10">
        <f>Indeksacja!AQ$56</f>
        <v>1.0114391586966223</v>
      </c>
      <c r="AR13" s="10">
        <f>Indeksacja!AR$56</f>
        <v>1.0114649987554274</v>
      </c>
      <c r="AS13" s="10">
        <f>Indeksacja!AS$56</f>
        <v>1.0109886683749356</v>
      </c>
      <c r="AT13" s="10">
        <f>Indeksacja!AT$56</f>
        <v>1.0105100761587926</v>
      </c>
      <c r="AU13" s="10">
        <f>Indeksacja!AU$56</f>
        <v>1.0100293908464826</v>
      </c>
      <c r="AV13" s="10">
        <f>Indeksacja!AV$56</f>
        <v>1.0100514116581181</v>
      </c>
      <c r="AW13" s="10">
        <f>Indeksacja!AW$56</f>
        <v>1.0100682444460214</v>
      </c>
      <c r="AX13" s="10">
        <f>Indeksacja!AX$56</f>
        <v>1.0100835345838854</v>
      </c>
      <c r="AY13" s="10">
        <f>Indeksacja!AY$56</f>
        <v>1.0095918689904726</v>
      </c>
      <c r="AZ13" s="10">
        <f>Indeksacja!AZ$56</f>
        <v>1.0095084744902243</v>
      </c>
      <c r="BA13" s="10">
        <f>Indeksacja!BA$56</f>
        <v>1.0095084744902243</v>
      </c>
      <c r="BB13" s="10">
        <f>Indeksacja!BB$56</f>
        <v>1.0095084744902243</v>
      </c>
      <c r="BC13" s="10">
        <f>Indeksacja!BC$56</f>
        <v>1.0095084744902243</v>
      </c>
      <c r="BD13" s="10">
        <f>Indeksacja!BD$56</f>
        <v>1.0095084744902243</v>
      </c>
      <c r="BE13" s="10">
        <f>Indeksacja!BE$56</f>
        <v>1.0100109483309445</v>
      </c>
      <c r="BF13" s="10">
        <f>Indeksacja!BF$56</f>
        <v>1.0100109483309445</v>
      </c>
      <c r="BG13" s="10">
        <f>Indeksacja!BG$56</f>
        <v>1.0100109483309445</v>
      </c>
      <c r="BH13" s="10">
        <f>Indeksacja!BH$56</f>
        <v>1.0105134221716647</v>
      </c>
      <c r="BI13" s="10">
        <f>Indeksacja!BI$56</f>
        <v>1.0105134221716647</v>
      </c>
    </row>
    <row r="14" spans="1:61" s="540" customFormat="1"/>
    <row r="15" spans="1:61" s="540" customFormat="1"/>
    <row r="16" spans="1:61">
      <c r="A16" s="720" t="s">
        <v>638</v>
      </c>
      <c r="B16" s="720"/>
      <c r="C16" s="720"/>
      <c r="D16" s="720"/>
      <c r="E16" s="720"/>
      <c r="F16" s="720"/>
      <c r="G16" s="720"/>
      <c r="H16" s="720"/>
      <c r="I16" s="720"/>
      <c r="J16" s="720"/>
      <c r="K16" s="720"/>
      <c r="L16" s="720"/>
      <c r="M16" s="720"/>
      <c r="N16" s="720"/>
      <c r="O16" s="720"/>
      <c r="P16" s="720"/>
      <c r="Q16" s="720"/>
      <c r="R16" s="720"/>
      <c r="S16" s="720"/>
      <c r="T16" s="720"/>
      <c r="U16" s="720"/>
      <c r="V16" s="720"/>
    </row>
    <row r="17" spans="1:61" s="613" customFormat="1">
      <c r="A17" s="720"/>
      <c r="B17" s="720"/>
      <c r="C17" s="720"/>
      <c r="D17" s="720"/>
      <c r="E17" s="720"/>
      <c r="F17" s="720"/>
      <c r="G17" s="720"/>
      <c r="H17" s="720"/>
      <c r="I17" s="720"/>
      <c r="J17" s="720"/>
      <c r="K17" s="720"/>
      <c r="L17" s="720"/>
      <c r="M17" s="720"/>
      <c r="N17" s="720"/>
      <c r="O17" s="720"/>
      <c r="P17" s="720"/>
      <c r="Q17" s="720"/>
      <c r="R17" s="720"/>
      <c r="S17" s="720"/>
      <c r="T17" s="720"/>
      <c r="U17" s="720"/>
      <c r="V17" s="720"/>
    </row>
    <row r="18" spans="1:61"/>
    <row r="19" spans="1:61">
      <c r="A19" s="718" t="s">
        <v>339</v>
      </c>
      <c r="B19" s="685" t="s">
        <v>328</v>
      </c>
      <c r="C19" s="671"/>
      <c r="D19" s="671"/>
      <c r="E19" s="671"/>
      <c r="F19" s="671"/>
      <c r="G19" s="671"/>
      <c r="H19" s="671"/>
      <c r="I19" s="671"/>
      <c r="J19" s="671"/>
      <c r="K19" s="671"/>
      <c r="L19" s="671"/>
      <c r="M19" s="671"/>
      <c r="N19" s="671"/>
      <c r="O19" s="671"/>
      <c r="P19" s="674"/>
      <c r="Q19" s="6"/>
      <c r="R19" s="6"/>
      <c r="S19" s="6"/>
      <c r="T19" s="6">
        <v>2020</v>
      </c>
      <c r="U19" s="6">
        <f t="shared" ref="U19:BI19" si="1">T19+1</f>
        <v>2021</v>
      </c>
      <c r="V19" s="6">
        <f t="shared" si="1"/>
        <v>2022</v>
      </c>
      <c r="W19" s="6">
        <f t="shared" si="1"/>
        <v>2023</v>
      </c>
      <c r="X19" s="6">
        <f t="shared" si="1"/>
        <v>2024</v>
      </c>
      <c r="Y19" s="6">
        <f t="shared" si="1"/>
        <v>2025</v>
      </c>
      <c r="Z19" s="6">
        <f t="shared" si="1"/>
        <v>2026</v>
      </c>
      <c r="AA19" s="6">
        <f t="shared" si="1"/>
        <v>2027</v>
      </c>
      <c r="AB19" s="6">
        <f t="shared" si="1"/>
        <v>2028</v>
      </c>
      <c r="AC19" s="6">
        <f t="shared" si="1"/>
        <v>2029</v>
      </c>
      <c r="AD19" s="6">
        <f t="shared" si="1"/>
        <v>2030</v>
      </c>
      <c r="AE19" s="6">
        <f t="shared" si="1"/>
        <v>2031</v>
      </c>
      <c r="AF19" s="6">
        <f t="shared" si="1"/>
        <v>2032</v>
      </c>
      <c r="AG19" s="6">
        <f t="shared" si="1"/>
        <v>2033</v>
      </c>
      <c r="AH19" s="6">
        <f t="shared" si="1"/>
        <v>2034</v>
      </c>
      <c r="AI19" s="6">
        <f t="shared" si="1"/>
        <v>2035</v>
      </c>
      <c r="AJ19" s="6">
        <f t="shared" si="1"/>
        <v>2036</v>
      </c>
      <c r="AK19" s="6">
        <f t="shared" si="1"/>
        <v>2037</v>
      </c>
      <c r="AL19" s="6">
        <f t="shared" si="1"/>
        <v>2038</v>
      </c>
      <c r="AM19" s="6">
        <f t="shared" si="1"/>
        <v>2039</v>
      </c>
      <c r="AN19" s="6">
        <f t="shared" si="1"/>
        <v>2040</v>
      </c>
      <c r="AO19" s="6">
        <f t="shared" si="1"/>
        <v>2041</v>
      </c>
      <c r="AP19" s="6">
        <f t="shared" si="1"/>
        <v>2042</v>
      </c>
      <c r="AQ19" s="6">
        <f t="shared" si="1"/>
        <v>2043</v>
      </c>
      <c r="AR19" s="6">
        <f t="shared" si="1"/>
        <v>2044</v>
      </c>
      <c r="AS19" s="6">
        <f t="shared" si="1"/>
        <v>2045</v>
      </c>
      <c r="AT19" s="6">
        <f t="shared" si="1"/>
        <v>2046</v>
      </c>
      <c r="AU19" s="6">
        <f t="shared" si="1"/>
        <v>2047</v>
      </c>
      <c r="AV19" s="6">
        <f t="shared" si="1"/>
        <v>2048</v>
      </c>
      <c r="AW19" s="6">
        <f t="shared" si="1"/>
        <v>2049</v>
      </c>
      <c r="AX19" s="6">
        <f t="shared" si="1"/>
        <v>2050</v>
      </c>
      <c r="AY19" s="6">
        <f t="shared" si="1"/>
        <v>2051</v>
      </c>
      <c r="AZ19" s="6">
        <f t="shared" si="1"/>
        <v>2052</v>
      </c>
      <c r="BA19" s="6">
        <f t="shared" si="1"/>
        <v>2053</v>
      </c>
      <c r="BB19" s="6">
        <f t="shared" si="1"/>
        <v>2054</v>
      </c>
      <c r="BC19" s="6">
        <f t="shared" si="1"/>
        <v>2055</v>
      </c>
      <c r="BD19" s="6">
        <f t="shared" si="1"/>
        <v>2056</v>
      </c>
      <c r="BE19" s="6">
        <f t="shared" si="1"/>
        <v>2057</v>
      </c>
      <c r="BF19" s="6">
        <f t="shared" si="1"/>
        <v>2058</v>
      </c>
      <c r="BG19" s="6">
        <f t="shared" si="1"/>
        <v>2059</v>
      </c>
      <c r="BH19" s="6">
        <f t="shared" si="1"/>
        <v>2060</v>
      </c>
      <c r="BI19" s="6">
        <f t="shared" si="1"/>
        <v>2061</v>
      </c>
    </row>
    <row r="20" spans="1:61">
      <c r="A20" s="719"/>
      <c r="B20" s="686" t="s">
        <v>530</v>
      </c>
      <c r="C20" s="669"/>
      <c r="D20" s="669"/>
      <c r="E20" s="669"/>
      <c r="F20" s="669"/>
      <c r="G20" s="669"/>
      <c r="H20" s="669"/>
      <c r="I20" s="669"/>
      <c r="J20" s="669"/>
      <c r="K20" s="669"/>
      <c r="L20" s="669"/>
      <c r="M20" s="669"/>
      <c r="N20" s="669"/>
      <c r="O20" s="669"/>
      <c r="P20" s="687"/>
      <c r="Q20" s="683">
        <f>DATE(2016,12,31)</f>
        <v>42735</v>
      </c>
      <c r="R20" s="683">
        <f>DATE(YEAR(Q20+1),12,31)</f>
        <v>43100</v>
      </c>
      <c r="S20" s="683">
        <f t="shared" ref="S20:BI20" si="2">DATE(YEAR(R20+1),12,31)</f>
        <v>43465</v>
      </c>
      <c r="T20" s="683">
        <f t="shared" si="2"/>
        <v>43830</v>
      </c>
      <c r="U20" s="683">
        <f t="shared" si="2"/>
        <v>44196</v>
      </c>
      <c r="V20" s="683">
        <f t="shared" si="2"/>
        <v>44561</v>
      </c>
      <c r="W20" s="683">
        <f t="shared" si="2"/>
        <v>44926</v>
      </c>
      <c r="X20" s="683">
        <f t="shared" si="2"/>
        <v>45291</v>
      </c>
      <c r="Y20" s="683">
        <f t="shared" si="2"/>
        <v>45657</v>
      </c>
      <c r="Z20" s="683">
        <f t="shared" si="2"/>
        <v>46022</v>
      </c>
      <c r="AA20" s="683">
        <f t="shared" si="2"/>
        <v>46387</v>
      </c>
      <c r="AB20" s="683">
        <f t="shared" si="2"/>
        <v>46752</v>
      </c>
      <c r="AC20" s="683">
        <f t="shared" si="2"/>
        <v>47118</v>
      </c>
      <c r="AD20" s="683">
        <f t="shared" si="2"/>
        <v>47483</v>
      </c>
      <c r="AE20" s="683">
        <f t="shared" si="2"/>
        <v>47848</v>
      </c>
      <c r="AF20" s="683">
        <f t="shared" si="2"/>
        <v>48213</v>
      </c>
      <c r="AG20" s="683">
        <f t="shared" si="2"/>
        <v>48579</v>
      </c>
      <c r="AH20" s="683">
        <f t="shared" si="2"/>
        <v>48944</v>
      </c>
      <c r="AI20" s="683">
        <f t="shared" si="2"/>
        <v>49309</v>
      </c>
      <c r="AJ20" s="683">
        <f t="shared" si="2"/>
        <v>49674</v>
      </c>
      <c r="AK20" s="683">
        <f t="shared" si="2"/>
        <v>50040</v>
      </c>
      <c r="AL20" s="683">
        <f t="shared" si="2"/>
        <v>50405</v>
      </c>
      <c r="AM20" s="683">
        <f t="shared" si="2"/>
        <v>50770</v>
      </c>
      <c r="AN20" s="683">
        <f t="shared" si="2"/>
        <v>51135</v>
      </c>
      <c r="AO20" s="683">
        <f t="shared" si="2"/>
        <v>51501</v>
      </c>
      <c r="AP20" s="683">
        <f t="shared" si="2"/>
        <v>51866</v>
      </c>
      <c r="AQ20" s="683">
        <f t="shared" si="2"/>
        <v>52231</v>
      </c>
      <c r="AR20" s="683">
        <f t="shared" si="2"/>
        <v>52596</v>
      </c>
      <c r="AS20" s="683">
        <f t="shared" si="2"/>
        <v>52962</v>
      </c>
      <c r="AT20" s="683">
        <f t="shared" si="2"/>
        <v>53327</v>
      </c>
      <c r="AU20" s="683">
        <f t="shared" si="2"/>
        <v>53692</v>
      </c>
      <c r="AV20" s="683">
        <f t="shared" si="2"/>
        <v>54057</v>
      </c>
      <c r="AW20" s="683">
        <f t="shared" si="2"/>
        <v>54423</v>
      </c>
      <c r="AX20" s="683">
        <f t="shared" si="2"/>
        <v>54788</v>
      </c>
      <c r="AY20" s="683">
        <f t="shared" si="2"/>
        <v>55153</v>
      </c>
      <c r="AZ20" s="683">
        <f t="shared" si="2"/>
        <v>55518</v>
      </c>
      <c r="BA20" s="683">
        <f t="shared" si="2"/>
        <v>55884</v>
      </c>
      <c r="BB20" s="683">
        <f t="shared" si="2"/>
        <v>56249</v>
      </c>
      <c r="BC20" s="683">
        <f t="shared" si="2"/>
        <v>56614</v>
      </c>
      <c r="BD20" s="683">
        <f t="shared" si="2"/>
        <v>56979</v>
      </c>
      <c r="BE20" s="683">
        <f t="shared" si="2"/>
        <v>57345</v>
      </c>
      <c r="BF20" s="683">
        <f t="shared" si="2"/>
        <v>57710</v>
      </c>
      <c r="BG20" s="683">
        <f t="shared" si="2"/>
        <v>58075</v>
      </c>
      <c r="BH20" s="683">
        <f t="shared" si="2"/>
        <v>58440</v>
      </c>
      <c r="BI20" s="683">
        <f t="shared" si="2"/>
        <v>58806</v>
      </c>
    </row>
    <row r="21" spans="1:61">
      <c r="A21" s="8" t="s">
        <v>340</v>
      </c>
      <c r="B21" s="129" t="s">
        <v>361</v>
      </c>
      <c r="C21" s="13"/>
      <c r="D21" s="13"/>
      <c r="E21" s="13"/>
      <c r="F21" s="13"/>
      <c r="G21" s="13"/>
      <c r="H21" s="13"/>
      <c r="I21" s="13"/>
      <c r="J21" s="13"/>
      <c r="K21" s="13"/>
      <c r="L21" s="13"/>
      <c r="M21" s="13"/>
      <c r="N21" s="13"/>
      <c r="O21" s="13"/>
      <c r="P21" s="13"/>
      <c r="Q21" s="93"/>
      <c r="R21" s="93"/>
      <c r="S21" s="93"/>
      <c r="T21" s="92">
        <f>T6</f>
        <v>100.98</v>
      </c>
      <c r="U21" s="207">
        <f>T21*U$13</f>
        <v>103.26124364671236</v>
      </c>
      <c r="V21" s="10">
        <f t="shared" ref="V21:BI23" si="3">U21*V$13</f>
        <v>111.74465032140219</v>
      </c>
      <c r="W21" s="10">
        <f t="shared" si="3"/>
        <v>113.97907516226844</v>
      </c>
      <c r="X21" s="10">
        <f t="shared" si="3"/>
        <v>115.92501345173707</v>
      </c>
      <c r="Y21" s="10">
        <f t="shared" si="3"/>
        <v>117.79843776724545</v>
      </c>
      <c r="Z21" s="10">
        <f t="shared" si="3"/>
        <v>119.77209475134063</v>
      </c>
      <c r="AA21" s="10">
        <f t="shared" si="3"/>
        <v>121.72997212050841</v>
      </c>
      <c r="AB21" s="10">
        <f t="shared" si="3"/>
        <v>123.73129356892512</v>
      </c>
      <c r="AC21" s="10">
        <f t="shared" si="3"/>
        <v>125.71501819443043</v>
      </c>
      <c r="AD21" s="10">
        <f t="shared" si="3"/>
        <v>127.6789447550112</v>
      </c>
      <c r="AE21" s="10">
        <f t="shared" si="3"/>
        <v>129.62076245298945</v>
      </c>
      <c r="AF21" s="10">
        <f t="shared" si="3"/>
        <v>131.60494688070665</v>
      </c>
      <c r="AG21" s="10">
        <f t="shared" si="3"/>
        <v>133.56570279620408</v>
      </c>
      <c r="AH21" s="10">
        <f t="shared" si="3"/>
        <v>135.56718356807403</v>
      </c>
      <c r="AI21" s="10">
        <f t="shared" si="3"/>
        <v>137.54122737099928</v>
      </c>
      <c r="AJ21" s="10">
        <f t="shared" si="3"/>
        <v>139.48437975397829</v>
      </c>
      <c r="AK21" s="10">
        <f t="shared" si="3"/>
        <v>141.39442517809448</v>
      </c>
      <c r="AL21" s="10">
        <f t="shared" si="3"/>
        <v>143.26807177569128</v>
      </c>
      <c r="AM21" s="10">
        <f t="shared" si="3"/>
        <v>145.10204046160149</v>
      </c>
      <c r="AN21" s="10">
        <f t="shared" si="3"/>
        <v>146.89295130487744</v>
      </c>
      <c r="AO21" s="10">
        <f t="shared" si="3"/>
        <v>148.71182892389481</v>
      </c>
      <c r="AP21" s="10">
        <f t="shared" si="3"/>
        <v>150.40841200182979</v>
      </c>
      <c r="AQ21" s="10">
        <f t="shared" si="3"/>
        <v>152.12895769602565</v>
      </c>
      <c r="AR21" s="10">
        <f t="shared" si="3"/>
        <v>153.87311600667505</v>
      </c>
      <c r="AS21" s="10">
        <f t="shared" si="3"/>
        <v>155.56397665029039</v>
      </c>
      <c r="AT21" s="10">
        <f t="shared" si="3"/>
        <v>157.19896589244956</v>
      </c>
      <c r="AU21" s="10">
        <f t="shared" si="3"/>
        <v>158.77557576204782</v>
      </c>
      <c r="AV21" s="10">
        <f t="shared" si="3"/>
        <v>160.37149443528688</v>
      </c>
      <c r="AW21" s="10">
        <f t="shared" si="3"/>
        <v>161.98615384343509</v>
      </c>
      <c r="AX21" s="10">
        <f t="shared" si="3"/>
        <v>163.61954682782596</v>
      </c>
      <c r="AY21" s="10">
        <f t="shared" si="3"/>
        <v>165.18896408527897</v>
      </c>
      <c r="AZ21" s="10">
        <f t="shared" si="3"/>
        <v>166.75965913635042</v>
      </c>
      <c r="BA21" s="10">
        <f t="shared" si="3"/>
        <v>168.34528910124692</v>
      </c>
      <c r="BB21" s="10">
        <f t="shared" si="3"/>
        <v>169.94599598821557</v>
      </c>
      <c r="BC21" s="10">
        <f t="shared" si="3"/>
        <v>171.56192315578528</v>
      </c>
      <c r="BD21" s="10">
        <f t="shared" si="3"/>
        <v>173.19321532560588</v>
      </c>
      <c r="BE21" s="10">
        <f t="shared" si="3"/>
        <v>174.92704365550065</v>
      </c>
      <c r="BF21" s="10">
        <f t="shared" si="3"/>
        <v>176.67822925122076</v>
      </c>
      <c r="BG21" s="10">
        <f t="shared" si="3"/>
        <v>178.44694587545749</v>
      </c>
      <c r="BH21" s="10">
        <f t="shared" si="3"/>
        <v>180.32303395269037</v>
      </c>
      <c r="BI21" s="10">
        <f t="shared" si="3"/>
        <v>182.21884613591044</v>
      </c>
    </row>
    <row r="22" spans="1:61">
      <c r="A22" s="8" t="s">
        <v>341</v>
      </c>
      <c r="B22" s="129" t="s">
        <v>361</v>
      </c>
      <c r="C22" s="13"/>
      <c r="D22" s="13"/>
      <c r="E22" s="13"/>
      <c r="F22" s="13"/>
      <c r="G22" s="13"/>
      <c r="H22" s="13"/>
      <c r="I22" s="13"/>
      <c r="J22" s="13"/>
      <c r="K22" s="13"/>
      <c r="L22" s="13"/>
      <c r="M22" s="13"/>
      <c r="N22" s="13"/>
      <c r="O22" s="13"/>
      <c r="P22" s="13"/>
      <c r="Q22" s="93"/>
      <c r="R22" s="93"/>
      <c r="S22" s="93"/>
      <c r="T22" s="92">
        <f>T7</f>
        <v>51.19</v>
      </c>
      <c r="U22" s="207">
        <f t="shared" ref="U22:AJ23" si="4">T22*U$13</f>
        <v>52.346435554319719</v>
      </c>
      <c r="V22" s="10">
        <f t="shared" si="4"/>
        <v>56.646946424565037</v>
      </c>
      <c r="W22" s="10">
        <f t="shared" si="4"/>
        <v>57.779648024920981</v>
      </c>
      <c r="X22" s="10">
        <f t="shared" si="4"/>
        <v>58.766106541834219</v>
      </c>
      <c r="Y22" s="10">
        <f t="shared" si="4"/>
        <v>59.715805400131643</v>
      </c>
      <c r="Z22" s="10">
        <f t="shared" si="4"/>
        <v>60.716315412171973</v>
      </c>
      <c r="AA22" s="10">
        <f t="shared" si="4"/>
        <v>61.708826231420325</v>
      </c>
      <c r="AB22" s="10">
        <f t="shared" si="4"/>
        <v>62.723360247507188</v>
      </c>
      <c r="AC22" s="10">
        <f t="shared" si="4"/>
        <v>63.728973869804832</v>
      </c>
      <c r="AD22" s="10">
        <f t="shared" si="4"/>
        <v>64.724551218152328</v>
      </c>
      <c r="AE22" s="10">
        <f t="shared" si="4"/>
        <v>65.708920875109214</v>
      </c>
      <c r="AF22" s="10">
        <f t="shared" si="4"/>
        <v>66.714767585891963</v>
      </c>
      <c r="AG22" s="10">
        <f t="shared" si="4"/>
        <v>67.708737632577567</v>
      </c>
      <c r="AH22" s="10">
        <f t="shared" si="4"/>
        <v>68.723352414831695</v>
      </c>
      <c r="AI22" s="10">
        <f t="shared" si="4"/>
        <v>69.724058517740616</v>
      </c>
      <c r="AJ22" s="10">
        <f t="shared" si="4"/>
        <v>70.709104769322082</v>
      </c>
      <c r="AK22" s="10">
        <f t="shared" si="3"/>
        <v>71.677368041856326</v>
      </c>
      <c r="AL22" s="10">
        <f t="shared" si="3"/>
        <v>72.627179582072017</v>
      </c>
      <c r="AM22" s="10">
        <f t="shared" si="3"/>
        <v>73.556877116551547</v>
      </c>
      <c r="AN22" s="10">
        <f t="shared" si="3"/>
        <v>74.464747249917522</v>
      </c>
      <c r="AO22" s="10">
        <f t="shared" si="3"/>
        <v>75.386794638682616</v>
      </c>
      <c r="AP22" s="10">
        <f t="shared" si="3"/>
        <v>76.246847003106168</v>
      </c>
      <c r="AQ22" s="10">
        <f t="shared" si="3"/>
        <v>77.119046786091772</v>
      </c>
      <c r="AR22" s="10">
        <f t="shared" si="3"/>
        <v>78.003216561514066</v>
      </c>
      <c r="AS22" s="10">
        <f t="shared" si="3"/>
        <v>78.860368040486833</v>
      </c>
      <c r="AT22" s="10">
        <f t="shared" si="3"/>
        <v>79.689196514502768</v>
      </c>
      <c r="AU22" s="10">
        <f t="shared" si="3"/>
        <v>80.488430612588871</v>
      </c>
      <c r="AV22" s="10">
        <f t="shared" si="3"/>
        <v>81.297452962391873</v>
      </c>
      <c r="AW22" s="10">
        <f t="shared" si="3"/>
        <v>82.115975591656166</v>
      </c>
      <c r="AX22" s="10">
        <f t="shared" si="3"/>
        <v>82.943994871424124</v>
      </c>
      <c r="AY22" s="10">
        <f t="shared" si="3"/>
        <v>83.739582803777253</v>
      </c>
      <c r="AZ22" s="10">
        <f t="shared" si="3"/>
        <v>84.535818490688996</v>
      </c>
      <c r="BA22" s="10">
        <f t="shared" si="3"/>
        <v>85.339625164317937</v>
      </c>
      <c r="BB22" s="10">
        <f t="shared" si="3"/>
        <v>86.151074813198164</v>
      </c>
      <c r="BC22" s="10">
        <f t="shared" si="3"/>
        <v>86.97024011036487</v>
      </c>
      <c r="BD22" s="10">
        <f t="shared" si="3"/>
        <v>87.797194419862961</v>
      </c>
      <c r="BE22" s="10">
        <f t="shared" si="3"/>
        <v>88.676127596802104</v>
      </c>
      <c r="BF22" s="10">
        <f t="shared" si="3"/>
        <v>89.563859728361933</v>
      </c>
      <c r="BG22" s="10">
        <f t="shared" si="3"/>
        <v>90.46047890042253</v>
      </c>
      <c r="BH22" s="10">
        <f t="shared" si="3"/>
        <v>91.411528104953646</v>
      </c>
      <c r="BI22" s="10">
        <f t="shared" si="3"/>
        <v>92.37257609127802</v>
      </c>
    </row>
    <row r="23" spans="1:61">
      <c r="A23" s="8" t="s">
        <v>342</v>
      </c>
      <c r="B23" s="129" t="s">
        <v>361</v>
      </c>
      <c r="C23" s="13"/>
      <c r="D23" s="13"/>
      <c r="E23" s="13"/>
      <c r="F23" s="13"/>
      <c r="G23" s="13"/>
      <c r="H23" s="13"/>
      <c r="I23" s="13"/>
      <c r="J23" s="13"/>
      <c r="K23" s="13"/>
      <c r="L23" s="13"/>
      <c r="M23" s="13"/>
      <c r="N23" s="13"/>
      <c r="O23" s="13"/>
      <c r="P23" s="13"/>
      <c r="Q23" s="93"/>
      <c r="R23" s="93"/>
      <c r="S23" s="93"/>
      <c r="T23" s="92">
        <f>T8</f>
        <v>45.55</v>
      </c>
      <c r="U23" s="207">
        <f t="shared" si="4"/>
        <v>46.579022064842022</v>
      </c>
      <c r="V23" s="10">
        <f t="shared" si="3"/>
        <v>50.405712241432646</v>
      </c>
      <c r="W23" s="10">
        <f t="shared" si="3"/>
        <v>51.413615306410442</v>
      </c>
      <c r="X23" s="10">
        <f t="shared" si="3"/>
        <v>52.291388024624901</v>
      </c>
      <c r="Y23" s="10">
        <f t="shared" si="3"/>
        <v>53.136451181402542</v>
      </c>
      <c r="Z23" s="10">
        <f t="shared" si="3"/>
        <v>54.026727232358532</v>
      </c>
      <c r="AA23" s="10">
        <f t="shared" si="3"/>
        <v>54.909885423738928</v>
      </c>
      <c r="AB23" s="10">
        <f t="shared" si="3"/>
        <v>55.812640345261812</v>
      </c>
      <c r="AC23" s="10">
        <f t="shared" si="3"/>
        <v>56.707457702082635</v>
      </c>
      <c r="AD23" s="10">
        <f t="shared" si="3"/>
        <v>57.593344559227162</v>
      </c>
      <c r="AE23" s="10">
        <f t="shared" si="3"/>
        <v>58.46925856341521</v>
      </c>
      <c r="AF23" s="10">
        <f t="shared" si="3"/>
        <v>59.364283327551846</v>
      </c>
      <c r="AG23" s="10">
        <f t="shared" si="3"/>
        <v>60.248739971945859</v>
      </c>
      <c r="AH23" s="10">
        <f t="shared" si="3"/>
        <v>61.151566760999884</v>
      </c>
      <c r="AI23" s="10">
        <f t="shared" si="3"/>
        <v>62.042017297970027</v>
      </c>
      <c r="AJ23" s="10">
        <f t="shared" si="3"/>
        <v>62.918533351096329</v>
      </c>
      <c r="AK23" s="10">
        <f t="shared" si="3"/>
        <v>63.780115536365621</v>
      </c>
      <c r="AL23" s="10">
        <f t="shared" si="3"/>
        <v>64.625278960019159</v>
      </c>
      <c r="AM23" s="10">
        <f t="shared" si="3"/>
        <v>65.452544494216127</v>
      </c>
      <c r="AN23" s="10">
        <f t="shared" si="3"/>
        <v>66.260387521659382</v>
      </c>
      <c r="AO23" s="10">
        <f t="shared" si="3"/>
        <v>67.080845786129984</v>
      </c>
      <c r="AP23" s="10">
        <f t="shared" si="3"/>
        <v>67.846139499736026</v>
      </c>
      <c r="AQ23" s="10">
        <f t="shared" si="3"/>
        <v>68.622242256426674</v>
      </c>
      <c r="AR23" s="10">
        <f t="shared" si="3"/>
        <v>69.408996178491236</v>
      </c>
      <c r="AS23" s="10">
        <f t="shared" si="3"/>
        <v>70.171708619733849</v>
      </c>
      <c r="AT23" s="10">
        <f t="shared" si="3"/>
        <v>70.909218621519855</v>
      </c>
      <c r="AU23" s="10">
        <f t="shared" si="3"/>
        <v>71.620394889693756</v>
      </c>
      <c r="AV23" s="10">
        <f t="shared" si="3"/>
        <v>72.340280961847043</v>
      </c>
      <c r="AW23" s="10">
        <f t="shared" si="3"/>
        <v>73.068620593864793</v>
      </c>
      <c r="AX23" s="10">
        <f t="shared" si="3"/>
        <v>73.805410556619833</v>
      </c>
      <c r="AY23" s="10">
        <f t="shared" si="3"/>
        <v>74.51334238546697</v>
      </c>
      <c r="AZ23" s="10">
        <f t="shared" si="3"/>
        <v>75.221850600720529</v>
      </c>
      <c r="BA23" s="10">
        <f t="shared" si="3"/>
        <v>75.937095648264943</v>
      </c>
      <c r="BB23" s="10">
        <f t="shared" si="3"/>
        <v>76.659141585098197</v>
      </c>
      <c r="BC23" s="10">
        <f t="shared" si="3"/>
        <v>77.388053077302601</v>
      </c>
      <c r="BD23" s="10">
        <f t="shared" si="3"/>
        <v>78.123895405836251</v>
      </c>
      <c r="BE23" s="10">
        <f t="shared" si="3"/>
        <v>78.90598968615619</v>
      </c>
      <c r="BF23" s="10">
        <f t="shared" si="3"/>
        <v>79.695913471906337</v>
      </c>
      <c r="BG23" s="10">
        <f t="shared" si="3"/>
        <v>80.49374514386102</v>
      </c>
      <c r="BH23" s="10">
        <f t="shared" si="3"/>
        <v>81.340009868736814</v>
      </c>
      <c r="BI23" s="10">
        <f t="shared" si="3"/>
        <v>82.195171731934224</v>
      </c>
    </row>
    <row r="24" spans="1:61"/>
  </sheetData>
  <mergeCells count="2">
    <mergeCell ref="A19:A20"/>
    <mergeCell ref="A16:V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540" customWidth="1"/>
    <col min="2" max="2" width="9.140625" style="540" customWidth="1"/>
    <col min="3" max="15" width="1.7109375" style="540" hidden="1" customWidth="1" outlineLevel="1"/>
    <col min="16" max="16" width="9.140625" style="540" customWidth="1" collapsed="1"/>
    <col min="17" max="62" width="9.140625" style="540" customWidth="1"/>
    <col min="63" max="16384" width="9.140625" style="540" hidden="1"/>
  </cols>
  <sheetData>
    <row r="1" spans="1:61" ht="21">
      <c r="A1" s="4" t="s">
        <v>581</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40" t="str">
        <f>Indeksacja!$A$2</f>
        <v>Dla roku bazowego 2022 właściwe do zastosowania w analizie są wartości kosztów jednostkowych określone według poziomu cenowego z końca roku poprzedniego, tzn. 2021.</v>
      </c>
    </row>
    <row r="3" spans="1:61"/>
    <row r="4" spans="1:61">
      <c r="A4" s="1" t="s">
        <v>376</v>
      </c>
    </row>
    <row r="5" spans="1:61">
      <c r="A5" s="9" t="s">
        <v>348</v>
      </c>
      <c r="B5" s="6"/>
      <c r="C5" s="6"/>
      <c r="D5" s="6"/>
      <c r="E5" s="6"/>
      <c r="F5" s="6"/>
      <c r="G5" s="6"/>
      <c r="H5" s="6"/>
      <c r="I5" s="6"/>
      <c r="J5" s="6"/>
      <c r="K5" s="6"/>
      <c r="L5" s="6"/>
      <c r="M5" s="6"/>
      <c r="N5" s="6"/>
      <c r="O5" s="6"/>
      <c r="P5" s="729" t="s">
        <v>362</v>
      </c>
      <c r="Q5" s="730"/>
      <c r="R5" s="730"/>
      <c r="S5" s="731"/>
      <c r="T5" s="729" t="s">
        <v>363</v>
      </c>
      <c r="U5" s="730"/>
      <c r="V5" s="730"/>
      <c r="W5" s="731"/>
      <c r="X5" s="729" t="s">
        <v>364</v>
      </c>
      <c r="Y5" s="730"/>
      <c r="Z5" s="730"/>
      <c r="AA5" s="731"/>
    </row>
    <row r="6" spans="1:61">
      <c r="A6" s="9" t="s">
        <v>345</v>
      </c>
      <c r="B6" s="6"/>
      <c r="C6" s="6"/>
      <c r="D6" s="6"/>
      <c r="E6" s="6"/>
      <c r="F6" s="6"/>
      <c r="G6" s="6"/>
      <c r="H6" s="6"/>
      <c r="I6" s="6"/>
      <c r="J6" s="6"/>
      <c r="K6" s="6"/>
      <c r="L6" s="6"/>
      <c r="M6" s="6"/>
      <c r="N6" s="6"/>
      <c r="O6" s="6"/>
      <c r="P6" s="729" t="s">
        <v>346</v>
      </c>
      <c r="Q6" s="731"/>
      <c r="R6" s="729" t="s">
        <v>347</v>
      </c>
      <c r="S6" s="731"/>
      <c r="T6" s="729" t="s">
        <v>346</v>
      </c>
      <c r="U6" s="731"/>
      <c r="V6" s="729" t="s">
        <v>347</v>
      </c>
      <c r="W6" s="731"/>
      <c r="X6" s="729" t="s">
        <v>346</v>
      </c>
      <c r="Y6" s="731"/>
      <c r="Z6" s="729" t="s">
        <v>347</v>
      </c>
      <c r="AA6" s="731"/>
    </row>
    <row r="7" spans="1:61">
      <c r="A7" s="8" t="s">
        <v>377</v>
      </c>
      <c r="B7" s="543" t="s">
        <v>378</v>
      </c>
      <c r="C7" s="90"/>
      <c r="D7" s="90"/>
      <c r="E7" s="90"/>
      <c r="F7" s="90"/>
      <c r="G7" s="90"/>
      <c r="H7" s="90"/>
      <c r="I7" s="90"/>
      <c r="J7" s="90"/>
      <c r="K7" s="90"/>
      <c r="L7" s="90"/>
      <c r="M7" s="90"/>
      <c r="N7" s="90"/>
      <c r="O7" s="90"/>
      <c r="P7" s="738">
        <v>18</v>
      </c>
      <c r="Q7" s="739"/>
      <c r="R7" s="738">
        <v>18</v>
      </c>
      <c r="S7" s="739"/>
      <c r="T7" s="738">
        <v>18</v>
      </c>
      <c r="U7" s="739"/>
      <c r="V7" s="738">
        <v>18</v>
      </c>
      <c r="W7" s="739"/>
      <c r="X7" s="738">
        <v>20</v>
      </c>
      <c r="Y7" s="739"/>
      <c r="Z7" s="738">
        <v>20</v>
      </c>
      <c r="AA7" s="739"/>
    </row>
    <row r="8" spans="1:61">
      <c r="A8" s="8" t="s">
        <v>383</v>
      </c>
      <c r="B8" s="543" t="s">
        <v>379</v>
      </c>
      <c r="C8" s="90"/>
      <c r="D8" s="90"/>
      <c r="E8" s="90"/>
      <c r="F8" s="90"/>
      <c r="G8" s="90"/>
      <c r="H8" s="90"/>
      <c r="I8" s="90"/>
      <c r="J8" s="90"/>
      <c r="K8" s="90"/>
      <c r="L8" s="90"/>
      <c r="M8" s="90"/>
      <c r="N8" s="90"/>
      <c r="O8" s="90"/>
      <c r="P8" s="738">
        <v>1705</v>
      </c>
      <c r="Q8" s="739"/>
      <c r="R8" s="738">
        <v>1733</v>
      </c>
      <c r="S8" s="739"/>
      <c r="T8" s="738">
        <v>1705</v>
      </c>
      <c r="U8" s="739"/>
      <c r="V8" s="738">
        <v>1733</v>
      </c>
      <c r="W8" s="739"/>
      <c r="X8" s="738">
        <v>1385</v>
      </c>
      <c r="Y8" s="739"/>
      <c r="Z8" s="738">
        <v>1413</v>
      </c>
      <c r="AA8" s="739"/>
    </row>
    <row r="9" spans="1:61" ht="15" customHeight="1">
      <c r="A9" s="8" t="s">
        <v>382</v>
      </c>
      <c r="B9" s="543" t="s">
        <v>379</v>
      </c>
      <c r="C9" s="90"/>
      <c r="D9" s="90"/>
      <c r="E9" s="90"/>
      <c r="F9" s="90"/>
      <c r="G9" s="90"/>
      <c r="H9" s="90"/>
      <c r="I9" s="90"/>
      <c r="J9" s="90"/>
      <c r="K9" s="90"/>
      <c r="L9" s="90"/>
      <c r="M9" s="90"/>
      <c r="N9" s="90"/>
      <c r="O9" s="90"/>
      <c r="P9" s="738">
        <v>1143</v>
      </c>
      <c r="Q9" s="739"/>
      <c r="R9" s="738">
        <v>1143</v>
      </c>
      <c r="S9" s="739"/>
      <c r="T9" s="738">
        <v>1143</v>
      </c>
      <c r="U9" s="739"/>
      <c r="V9" s="738">
        <v>1143</v>
      </c>
      <c r="W9" s="739"/>
      <c r="X9" s="738">
        <v>750</v>
      </c>
      <c r="Y9" s="739"/>
      <c r="Z9" s="738">
        <v>750</v>
      </c>
      <c r="AA9" s="739"/>
    </row>
    <row r="10" spans="1:61">
      <c r="A10" s="8" t="s">
        <v>381</v>
      </c>
      <c r="B10" s="543" t="s">
        <v>380</v>
      </c>
      <c r="C10" s="90"/>
      <c r="D10" s="90"/>
      <c r="E10" s="90"/>
      <c r="F10" s="90"/>
      <c r="G10" s="90"/>
      <c r="H10" s="90"/>
      <c r="I10" s="90"/>
      <c r="J10" s="90"/>
      <c r="K10" s="90"/>
      <c r="L10" s="90"/>
      <c r="M10" s="90"/>
      <c r="N10" s="90"/>
      <c r="O10" s="90"/>
      <c r="P10" s="727">
        <f>P9/P7</f>
        <v>63.5</v>
      </c>
      <c r="Q10" s="728"/>
      <c r="R10" s="727">
        <f>R9/R7</f>
        <v>63.5</v>
      </c>
      <c r="S10" s="728"/>
      <c r="T10" s="727">
        <f>T9/T7</f>
        <v>63.5</v>
      </c>
      <c r="U10" s="728"/>
      <c r="V10" s="727">
        <f>V9/V7</f>
        <v>63.5</v>
      </c>
      <c r="W10" s="728"/>
      <c r="X10" s="727">
        <f>X9/X7</f>
        <v>37.5</v>
      </c>
      <c r="Y10" s="728"/>
      <c r="Z10" s="727">
        <f>Z9/Z7</f>
        <v>37.5</v>
      </c>
      <c r="AA10" s="728"/>
    </row>
    <row r="11" spans="1:61">
      <c r="A11" s="35" t="s">
        <v>384</v>
      </c>
    </row>
    <row r="12" spans="1:61" hidden="1" outlineLevel="1"/>
    <row r="13" spans="1:61" hidden="1" outlineLevel="1">
      <c r="A13" s="1" t="s">
        <v>583</v>
      </c>
    </row>
    <row r="14" spans="1:61" hidden="1" outlineLevel="1">
      <c r="A14" s="540" t="s">
        <v>582</v>
      </c>
    </row>
    <row r="15" spans="1:61" hidden="1" outlineLevel="1">
      <c r="A15" s="9" t="s">
        <v>348</v>
      </c>
      <c r="B15" s="6"/>
      <c r="C15" s="6"/>
      <c r="D15" s="6"/>
      <c r="E15" s="6"/>
      <c r="F15" s="6"/>
      <c r="G15" s="6"/>
      <c r="H15" s="6"/>
      <c r="I15" s="6"/>
      <c r="J15" s="6"/>
      <c r="K15" s="6"/>
      <c r="L15" s="6"/>
      <c r="M15" s="6"/>
      <c r="N15" s="6"/>
      <c r="O15" s="6"/>
      <c r="P15" s="729" t="s">
        <v>362</v>
      </c>
      <c r="Q15" s="730"/>
      <c r="R15" s="730"/>
      <c r="S15" s="731"/>
      <c r="T15" s="729" t="s">
        <v>363</v>
      </c>
      <c r="U15" s="730"/>
      <c r="V15" s="730"/>
      <c r="W15" s="731"/>
      <c r="X15" s="729" t="s">
        <v>364</v>
      </c>
      <c r="Y15" s="730"/>
      <c r="Z15" s="730"/>
      <c r="AA15" s="731"/>
    </row>
    <row r="16" spans="1:61" hidden="1" outlineLevel="1">
      <c r="A16" s="9" t="s">
        <v>345</v>
      </c>
      <c r="B16" s="6"/>
      <c r="C16" s="6"/>
      <c r="D16" s="6"/>
      <c r="E16" s="6"/>
      <c r="F16" s="6"/>
      <c r="G16" s="6"/>
      <c r="H16" s="6"/>
      <c r="I16" s="6"/>
      <c r="J16" s="6"/>
      <c r="K16" s="6"/>
      <c r="L16" s="6"/>
      <c r="M16" s="6"/>
      <c r="N16" s="6"/>
      <c r="O16" s="6"/>
      <c r="P16" s="729" t="s">
        <v>346</v>
      </c>
      <c r="Q16" s="731"/>
      <c r="R16" s="729" t="s">
        <v>347</v>
      </c>
      <c r="S16" s="731"/>
      <c r="T16" s="729" t="s">
        <v>346</v>
      </c>
      <c r="U16" s="731"/>
      <c r="V16" s="729" t="s">
        <v>347</v>
      </c>
      <c r="W16" s="731"/>
      <c r="X16" s="729" t="s">
        <v>346</v>
      </c>
      <c r="Y16" s="731"/>
      <c r="Z16" s="729" t="s">
        <v>347</v>
      </c>
      <c r="AA16" s="731"/>
    </row>
    <row r="17" spans="1:27" hidden="1" outlineLevel="1">
      <c r="A17" s="8" t="s">
        <v>80</v>
      </c>
      <c r="B17" s="90"/>
      <c r="C17" s="90"/>
      <c r="D17" s="90"/>
      <c r="E17" s="90"/>
      <c r="F17" s="90"/>
      <c r="G17" s="90"/>
      <c r="H17" s="90"/>
      <c r="I17" s="90"/>
      <c r="J17" s="90"/>
      <c r="K17" s="90"/>
      <c r="L17" s="90"/>
      <c r="M17" s="90"/>
      <c r="N17" s="90"/>
      <c r="O17" s="90"/>
      <c r="P17" s="727">
        <v>354.39</v>
      </c>
      <c r="Q17" s="728"/>
      <c r="R17" s="727">
        <v>375.22</v>
      </c>
      <c r="S17" s="728"/>
      <c r="T17" s="727">
        <v>392.39</v>
      </c>
      <c r="U17" s="728"/>
      <c r="V17" s="727">
        <v>424.09</v>
      </c>
      <c r="W17" s="728"/>
      <c r="X17" s="727">
        <v>327.52999999999997</v>
      </c>
      <c r="Y17" s="728"/>
      <c r="Z17" s="727">
        <v>350.66</v>
      </c>
      <c r="AA17" s="728"/>
    </row>
    <row r="18" spans="1:27" hidden="1" outlineLevel="1">
      <c r="A18" s="35" t="s">
        <v>584</v>
      </c>
    </row>
    <row r="19" spans="1:27" hidden="1" outlineLevel="1">
      <c r="A19" s="715" t="s">
        <v>585</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row>
    <row r="20" spans="1:27" s="613" customFormat="1" hidden="1" outlineLevel="1">
      <c r="A20" s="715"/>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row>
    <row r="21" spans="1:27" hidden="1" outlineLevel="1">
      <c r="A21" s="540" t="s">
        <v>586</v>
      </c>
    </row>
    <row r="22" spans="1:27" hidden="1" outlineLevel="1"/>
    <row r="23" spans="1:27" hidden="1" outlineLevel="1">
      <c r="A23" s="1" t="s">
        <v>587</v>
      </c>
    </row>
    <row r="24" spans="1:27" hidden="1" outlineLevel="1">
      <c r="A24" s="540" t="s">
        <v>356</v>
      </c>
    </row>
    <row r="25" spans="1:27" hidden="1" outlineLevel="1">
      <c r="A25" s="721"/>
      <c r="B25" s="724"/>
      <c r="C25" s="6"/>
      <c r="D25" s="6"/>
      <c r="E25" s="6"/>
      <c r="F25" s="6"/>
      <c r="G25" s="6"/>
      <c r="H25" s="6"/>
      <c r="I25" s="6"/>
      <c r="J25" s="6"/>
      <c r="K25" s="6"/>
      <c r="L25" s="6"/>
      <c r="M25" s="6"/>
      <c r="N25" s="6"/>
      <c r="O25" s="6"/>
      <c r="P25" s="732" t="s">
        <v>349</v>
      </c>
      <c r="Q25" s="733"/>
      <c r="R25" s="733"/>
      <c r="S25" s="734"/>
      <c r="T25" s="732" t="s">
        <v>351</v>
      </c>
      <c r="U25" s="733"/>
      <c r="V25" s="733"/>
      <c r="W25" s="734"/>
      <c r="X25" s="732" t="s">
        <v>352</v>
      </c>
      <c r="Y25" s="733"/>
      <c r="Z25" s="733"/>
      <c r="AA25" s="734"/>
    </row>
    <row r="26" spans="1:27" hidden="1" outlineLevel="1">
      <c r="A26" s="722"/>
      <c r="B26" s="725"/>
      <c r="C26" s="6"/>
      <c r="D26" s="6"/>
      <c r="E26" s="6"/>
      <c r="F26" s="6"/>
      <c r="G26" s="6"/>
      <c r="H26" s="6"/>
      <c r="I26" s="6"/>
      <c r="J26" s="6"/>
      <c r="K26" s="6"/>
      <c r="L26" s="6"/>
      <c r="M26" s="6"/>
      <c r="N26" s="6"/>
      <c r="O26" s="6"/>
      <c r="P26" s="735" t="s">
        <v>357</v>
      </c>
      <c r="Q26" s="736"/>
      <c r="R26" s="736"/>
      <c r="S26" s="737"/>
      <c r="T26" s="735" t="s">
        <v>358</v>
      </c>
      <c r="U26" s="736"/>
      <c r="V26" s="736"/>
      <c r="W26" s="737"/>
      <c r="X26" s="735" t="s">
        <v>359</v>
      </c>
      <c r="Y26" s="736"/>
      <c r="Z26" s="736"/>
      <c r="AA26" s="737"/>
    </row>
    <row r="27" spans="1:27" hidden="1" outlineLevel="1">
      <c r="A27" s="723"/>
      <c r="B27" s="726"/>
      <c r="C27" s="6"/>
      <c r="D27" s="6"/>
      <c r="E27" s="6"/>
      <c r="F27" s="6"/>
      <c r="G27" s="6"/>
      <c r="H27" s="6"/>
      <c r="I27" s="6"/>
      <c r="J27" s="6"/>
      <c r="K27" s="6"/>
      <c r="L27" s="6"/>
      <c r="M27" s="6"/>
      <c r="N27" s="6"/>
      <c r="O27" s="6"/>
      <c r="P27" s="743" t="s">
        <v>350</v>
      </c>
      <c r="Q27" s="744"/>
      <c r="R27" s="744"/>
      <c r="S27" s="745"/>
      <c r="T27" s="743" t="s">
        <v>355</v>
      </c>
      <c r="U27" s="744"/>
      <c r="V27" s="744"/>
      <c r="W27" s="745"/>
      <c r="X27" s="743" t="s">
        <v>353</v>
      </c>
      <c r="Y27" s="744"/>
      <c r="Z27" s="744"/>
      <c r="AA27" s="745"/>
    </row>
    <row r="28" spans="1:27" hidden="1" outlineLevel="1">
      <c r="A28" s="8" t="s">
        <v>209</v>
      </c>
      <c r="B28" s="90"/>
      <c r="C28" s="90"/>
      <c r="D28" s="90"/>
      <c r="E28" s="90"/>
      <c r="F28" s="90"/>
      <c r="G28" s="90"/>
      <c r="H28" s="90"/>
      <c r="I28" s="90"/>
      <c r="J28" s="90"/>
      <c r="K28" s="90"/>
      <c r="L28" s="90"/>
      <c r="M28" s="90"/>
      <c r="N28" s="90"/>
      <c r="O28" s="90"/>
      <c r="P28" s="746">
        <v>0</v>
      </c>
      <c r="Q28" s="747"/>
      <c r="R28" s="747"/>
      <c r="S28" s="748"/>
      <c r="T28" s="746">
        <v>0.2</v>
      </c>
      <c r="U28" s="747"/>
      <c r="V28" s="747"/>
      <c r="W28" s="748"/>
      <c r="X28" s="746">
        <v>0.6</v>
      </c>
      <c r="Y28" s="747"/>
      <c r="Z28" s="747"/>
      <c r="AA28" s="748"/>
    </row>
    <row r="29" spans="1:27" hidden="1" outlineLevel="1">
      <c r="A29" s="742" t="s">
        <v>588</v>
      </c>
      <c r="B29" s="742"/>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row>
    <row r="30" spans="1:27" s="613" customFormat="1" hidden="1" outlineLevel="1">
      <c r="A30" s="715"/>
      <c r="B30" s="715"/>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row>
    <row r="31" spans="1:27" hidden="1" outlineLevel="1">
      <c r="A31" s="35" t="s">
        <v>584</v>
      </c>
    </row>
    <row r="32" spans="1:27" hidden="1" outlineLevel="1"/>
    <row r="33" spans="1:61" hidden="1" outlineLevel="1">
      <c r="A33" s="9" t="s">
        <v>2</v>
      </c>
      <c r="B33" s="6"/>
      <c r="C33" s="6"/>
      <c r="D33" s="6"/>
      <c r="E33" s="6"/>
      <c r="F33" s="6"/>
      <c r="G33" s="6"/>
      <c r="H33" s="6"/>
      <c r="I33" s="6"/>
      <c r="J33" s="6"/>
      <c r="K33" s="6"/>
      <c r="L33" s="6"/>
      <c r="M33" s="6"/>
      <c r="N33" s="6"/>
      <c r="O33" s="6"/>
      <c r="P33" s="6"/>
      <c r="Q33" s="6">
        <v>2010</v>
      </c>
    </row>
    <row r="34" spans="1:61" hidden="1" outlineLevel="1">
      <c r="A34" s="8" t="s">
        <v>3</v>
      </c>
      <c r="B34" s="12"/>
      <c r="C34" s="12"/>
      <c r="D34" s="12"/>
      <c r="E34" s="12"/>
      <c r="F34" s="12"/>
      <c r="G34" s="12"/>
      <c r="H34" s="12"/>
      <c r="I34" s="12"/>
      <c r="J34" s="12"/>
      <c r="K34" s="12"/>
      <c r="L34" s="12"/>
      <c r="M34" s="12"/>
      <c r="N34" s="12"/>
      <c r="O34" s="12"/>
      <c r="P34" s="12"/>
      <c r="Q34" s="11">
        <f>Indeksacja!$K$41</f>
        <v>3.9946999999999999</v>
      </c>
    </row>
    <row r="35" spans="1:61" hidden="1" outlineLevel="1">
      <c r="A35" s="35" t="str">
        <f>Indeksacja!$A$42</f>
        <v>Źródło: ECB, http://sdw.ecb.europa.eu/quickview.do?SERIES_KEY=120.EXR.A.PLN.EUR.SP00.A</v>
      </c>
    </row>
    <row r="36" spans="1:61" hidden="1" outlineLevel="1"/>
    <row r="37" spans="1:61" ht="30" hidden="1" outlineLevel="1">
      <c r="A37" s="150" t="s">
        <v>589</v>
      </c>
      <c r="B37" s="6"/>
      <c r="C37" s="6"/>
      <c r="D37" s="6"/>
      <c r="E37" s="6"/>
      <c r="F37" s="6"/>
      <c r="G37" s="6"/>
      <c r="H37" s="6"/>
      <c r="I37" s="6"/>
      <c r="J37" s="6"/>
      <c r="K37" s="6"/>
      <c r="L37" s="6"/>
      <c r="M37" s="6"/>
      <c r="N37" s="6"/>
      <c r="O37" s="6"/>
      <c r="P37" s="6"/>
      <c r="Q37" s="6">
        <v>2010</v>
      </c>
    </row>
    <row r="38" spans="1:61" hidden="1" outlineLevel="1">
      <c r="A38" s="8" t="s">
        <v>80</v>
      </c>
      <c r="B38" s="503"/>
      <c r="C38" s="503"/>
      <c r="D38" s="503"/>
      <c r="E38" s="503"/>
      <c r="F38" s="503"/>
      <c r="G38" s="503"/>
      <c r="H38" s="503"/>
      <c r="I38" s="503"/>
      <c r="J38" s="503"/>
      <c r="K38" s="503"/>
      <c r="L38" s="503"/>
      <c r="M38" s="503"/>
      <c r="N38" s="503"/>
      <c r="O38" s="503"/>
      <c r="P38" s="503"/>
      <c r="Q38" s="489">
        <f>Indeksacja!$K$44</f>
        <v>62.4</v>
      </c>
    </row>
    <row r="39" spans="1:61" hidden="1" outlineLevel="1">
      <c r="A39" s="35" t="str">
        <f>Indeksacja!$A$45</f>
        <v>Źródło: Eurostat, https://ec.europa.eu/eurostat/data/database Main GDP aggregates per capita [nama_10_pc] (aktualizacja 28.01.2022)</v>
      </c>
    </row>
    <row r="40" spans="1:61" hidden="1" outlineLevel="1"/>
    <row r="41" spans="1:61" s="613" customFormat="1" hidden="1" outlineLevel="1">
      <c r="A41" s="749" t="s">
        <v>590</v>
      </c>
      <c r="B41" s="749"/>
      <c r="C41" s="749"/>
      <c r="D41" s="749"/>
      <c r="E41" s="749"/>
      <c r="F41" s="749"/>
      <c r="G41" s="749"/>
      <c r="H41" s="749"/>
      <c r="I41" s="749"/>
      <c r="J41" s="749"/>
      <c r="K41" s="749"/>
      <c r="L41" s="749"/>
      <c r="M41" s="749"/>
      <c r="N41" s="749"/>
      <c r="O41" s="749"/>
      <c r="P41" s="749"/>
      <c r="Q41" s="749"/>
      <c r="R41" s="749"/>
      <c r="S41" s="749"/>
      <c r="T41" s="749"/>
      <c r="U41" s="749"/>
      <c r="V41" s="749"/>
    </row>
    <row r="42" spans="1:61" s="694" customFormat="1" hidden="1" outlineLevel="1">
      <c r="A42" s="749"/>
      <c r="B42" s="749"/>
      <c r="C42" s="749"/>
      <c r="D42" s="749"/>
      <c r="E42" s="749"/>
      <c r="F42" s="749"/>
      <c r="G42" s="749"/>
      <c r="H42" s="749"/>
      <c r="I42" s="749"/>
      <c r="J42" s="749"/>
      <c r="K42" s="749"/>
      <c r="L42" s="749"/>
      <c r="M42" s="749"/>
      <c r="N42" s="749"/>
      <c r="O42" s="749"/>
      <c r="P42" s="749"/>
      <c r="Q42" s="749"/>
      <c r="R42" s="749"/>
      <c r="S42" s="749"/>
      <c r="T42" s="749"/>
      <c r="U42" s="749"/>
      <c r="V42" s="749"/>
    </row>
    <row r="43" spans="1:61" s="613" customFormat="1" hidden="1" outlineLevel="1">
      <c r="A43" s="536" t="s">
        <v>531</v>
      </c>
    </row>
    <row r="44" spans="1:61" s="613" customFormat="1" collapsed="1"/>
    <row r="45" spans="1:61">
      <c r="A45" s="9" t="s">
        <v>312</v>
      </c>
      <c r="B45" s="6"/>
      <c r="C45" s="6"/>
      <c r="D45" s="6"/>
      <c r="E45" s="6"/>
      <c r="F45" s="6"/>
      <c r="G45" s="6"/>
      <c r="H45" s="6"/>
      <c r="I45" s="6"/>
      <c r="J45" s="6"/>
      <c r="K45" s="6"/>
      <c r="L45" s="6"/>
      <c r="M45" s="6"/>
      <c r="N45" s="6"/>
      <c r="O45" s="6"/>
      <c r="P45" s="6"/>
      <c r="Q45" s="6"/>
      <c r="R45" s="202"/>
      <c r="S45" s="523" t="s">
        <v>532</v>
      </c>
      <c r="T45" s="542">
        <v>2019</v>
      </c>
      <c r="U45" s="6">
        <f t="shared" ref="U45:BI45" si="0">T45+1</f>
        <v>2020</v>
      </c>
      <c r="V45" s="6">
        <f t="shared" si="0"/>
        <v>2021</v>
      </c>
      <c r="W45" s="6">
        <f t="shared" si="0"/>
        <v>2022</v>
      </c>
      <c r="X45" s="6">
        <f t="shared" si="0"/>
        <v>2023</v>
      </c>
      <c r="Y45" s="6">
        <f t="shared" si="0"/>
        <v>2024</v>
      </c>
      <c r="Z45" s="6">
        <f t="shared" si="0"/>
        <v>2025</v>
      </c>
      <c r="AA45" s="6">
        <f t="shared" si="0"/>
        <v>2026</v>
      </c>
      <c r="AB45" s="6">
        <f t="shared" si="0"/>
        <v>2027</v>
      </c>
      <c r="AC45" s="6">
        <f t="shared" si="0"/>
        <v>2028</v>
      </c>
      <c r="AD45" s="6">
        <f t="shared" si="0"/>
        <v>2029</v>
      </c>
      <c r="AE45" s="6">
        <f t="shared" si="0"/>
        <v>2030</v>
      </c>
      <c r="AF45" s="6">
        <f t="shared" si="0"/>
        <v>2031</v>
      </c>
      <c r="AG45" s="6">
        <f t="shared" si="0"/>
        <v>2032</v>
      </c>
      <c r="AH45" s="6">
        <f t="shared" si="0"/>
        <v>2033</v>
      </c>
      <c r="AI45" s="6">
        <f t="shared" si="0"/>
        <v>2034</v>
      </c>
      <c r="AJ45" s="6">
        <f t="shared" si="0"/>
        <v>2035</v>
      </c>
      <c r="AK45" s="6">
        <f t="shared" si="0"/>
        <v>2036</v>
      </c>
      <c r="AL45" s="6">
        <f t="shared" si="0"/>
        <v>2037</v>
      </c>
      <c r="AM45" s="6">
        <f t="shared" si="0"/>
        <v>2038</v>
      </c>
      <c r="AN45" s="6">
        <f t="shared" si="0"/>
        <v>2039</v>
      </c>
      <c r="AO45" s="6">
        <f t="shared" si="0"/>
        <v>2040</v>
      </c>
      <c r="AP45" s="6">
        <f t="shared" si="0"/>
        <v>2041</v>
      </c>
      <c r="AQ45" s="6">
        <f t="shared" si="0"/>
        <v>2042</v>
      </c>
      <c r="AR45" s="6">
        <f t="shared" si="0"/>
        <v>2043</v>
      </c>
      <c r="AS45" s="6">
        <f t="shared" si="0"/>
        <v>2044</v>
      </c>
      <c r="AT45" s="6">
        <f t="shared" si="0"/>
        <v>2045</v>
      </c>
      <c r="AU45" s="6">
        <f t="shared" si="0"/>
        <v>2046</v>
      </c>
      <c r="AV45" s="6">
        <f t="shared" si="0"/>
        <v>2047</v>
      </c>
      <c r="AW45" s="6">
        <f t="shared" si="0"/>
        <v>2048</v>
      </c>
      <c r="AX45" s="6">
        <f t="shared" si="0"/>
        <v>2049</v>
      </c>
      <c r="AY45" s="6">
        <f t="shared" si="0"/>
        <v>2050</v>
      </c>
      <c r="AZ45" s="6">
        <f t="shared" si="0"/>
        <v>2051</v>
      </c>
      <c r="BA45" s="6">
        <f t="shared" si="0"/>
        <v>2052</v>
      </c>
      <c r="BB45" s="6">
        <f t="shared" si="0"/>
        <v>2053</v>
      </c>
      <c r="BC45" s="6">
        <f t="shared" si="0"/>
        <v>2054</v>
      </c>
      <c r="BD45" s="6">
        <f t="shared" si="0"/>
        <v>2055</v>
      </c>
      <c r="BE45" s="6">
        <f t="shared" si="0"/>
        <v>2056</v>
      </c>
      <c r="BF45" s="6">
        <f t="shared" si="0"/>
        <v>2057</v>
      </c>
      <c r="BG45" s="6">
        <f t="shared" si="0"/>
        <v>2058</v>
      </c>
      <c r="BH45" s="6">
        <f t="shared" si="0"/>
        <v>2059</v>
      </c>
      <c r="BI45" s="6">
        <f t="shared" si="0"/>
        <v>2060</v>
      </c>
    </row>
    <row r="46" spans="1:61">
      <c r="A46" s="8" t="s">
        <v>344</v>
      </c>
      <c r="B46" s="13"/>
      <c r="C46" s="13"/>
      <c r="D46" s="13"/>
      <c r="E46" s="13"/>
      <c r="F46" s="13"/>
      <c r="G46" s="13"/>
      <c r="H46" s="13"/>
      <c r="I46" s="13"/>
      <c r="J46" s="13"/>
      <c r="K46" s="13"/>
      <c r="L46" s="13"/>
      <c r="M46" s="13"/>
      <c r="N46" s="13"/>
      <c r="O46" s="13"/>
      <c r="P46" s="13"/>
      <c r="Q46" s="13"/>
      <c r="R46" s="13"/>
      <c r="S46" s="204">
        <f>Indeksacja!L$56*Indeksacja!M$56*Indeksacja!N$56*Indeksacja!O$56*Indeksacja!P$56*Indeksacja!Q$56*Indeksacja!R$56*Indeksacja!S$56</f>
        <v>1.2803288469577603</v>
      </c>
      <c r="T46" s="207">
        <f>Indeksacja!T$56</f>
        <v>1.0470583506471682</v>
      </c>
      <c r="U46" s="10">
        <f>Indeksacja!U$56</f>
        <v>1.0225910442336339</v>
      </c>
      <c r="V46" s="10">
        <f>Indeksacja!V$56</f>
        <v>1.0821547985971784</v>
      </c>
      <c r="W46" s="10">
        <f>Indeksacja!W$56</f>
        <v>1.0199958103984357</v>
      </c>
      <c r="X46" s="10">
        <f>Indeksacja!X$56</f>
        <v>1.0170727678453106</v>
      </c>
      <c r="Y46" s="10">
        <f>Indeksacja!Y$56</f>
        <v>1.0161606564426955</v>
      </c>
      <c r="Z46" s="10">
        <f>Indeksacja!Z$56</f>
        <v>1.0167545259640445</v>
      </c>
      <c r="AA46" s="10">
        <f>Indeksacja!AA$56</f>
        <v>1.0163466905478487</v>
      </c>
      <c r="AB46" s="10">
        <f>Indeksacja!AB$56</f>
        <v>1.0164406629982259</v>
      </c>
      <c r="AC46" s="10">
        <f>Indeksacja!AC$56</f>
        <v>1.016032521509203</v>
      </c>
      <c r="AD46" s="10">
        <f>Indeksacja!AD$56</f>
        <v>1.0156220520729144</v>
      </c>
      <c r="AE46" s="10">
        <f>Indeksacja!AE$56</f>
        <v>1.0152085976407792</v>
      </c>
      <c r="AF46" s="10">
        <f>Indeksacja!AF$56</f>
        <v>1.015307612686176</v>
      </c>
      <c r="AG46" s="10">
        <f>Indeksacja!AG$56</f>
        <v>1.0148988010099251</v>
      </c>
      <c r="AH46" s="10">
        <f>Indeksacja!AH$56</f>
        <v>1.0149849903827768</v>
      </c>
      <c r="AI46" s="10">
        <f>Indeksacja!AI$56</f>
        <v>1.0145613691379374</v>
      </c>
      <c r="AJ46" s="10">
        <f>Indeksacja!AJ$56</f>
        <v>1.0141277813214333</v>
      </c>
      <c r="AK46" s="10">
        <f>Indeksacja!AK$56</f>
        <v>1.0136936152097111</v>
      </c>
      <c r="AL46" s="10">
        <f>Indeksacja!AL$56</f>
        <v>1.0132512055919944</v>
      </c>
      <c r="AM46" s="10">
        <f>Indeksacja!AM$56</f>
        <v>1.0128009588122437</v>
      </c>
      <c r="AN46" s="10">
        <f>Indeksacja!AN$56</f>
        <v>1.0123424235632985</v>
      </c>
      <c r="AO46" s="10">
        <f>Indeksacja!AO$56</f>
        <v>1.0123823342295184</v>
      </c>
      <c r="AP46" s="10">
        <f>Indeksacja!AP$56</f>
        <v>1.011408528092296</v>
      </c>
      <c r="AQ46" s="10">
        <f>Indeksacja!AQ$56</f>
        <v>1.0114391586966223</v>
      </c>
      <c r="AR46" s="10">
        <f>Indeksacja!AR$56</f>
        <v>1.0114649987554274</v>
      </c>
      <c r="AS46" s="10">
        <f>Indeksacja!AS$56</f>
        <v>1.0109886683749356</v>
      </c>
      <c r="AT46" s="10">
        <f>Indeksacja!AT$56</f>
        <v>1.0105100761587926</v>
      </c>
      <c r="AU46" s="10">
        <f>Indeksacja!AU$56</f>
        <v>1.0100293908464826</v>
      </c>
      <c r="AV46" s="10">
        <f>Indeksacja!AV$56</f>
        <v>1.0100514116581181</v>
      </c>
      <c r="AW46" s="10">
        <f>Indeksacja!AW$56</f>
        <v>1.0100682444460214</v>
      </c>
      <c r="AX46" s="10">
        <f>Indeksacja!AX$56</f>
        <v>1.0100835345838854</v>
      </c>
      <c r="AY46" s="10">
        <f>Indeksacja!AY$56</f>
        <v>1.0095918689904726</v>
      </c>
      <c r="AZ46" s="10">
        <f>Indeksacja!AZ$56</f>
        <v>1.0095084744902243</v>
      </c>
      <c r="BA46" s="10">
        <f>Indeksacja!BA$56</f>
        <v>1.0095084744902243</v>
      </c>
      <c r="BB46" s="10">
        <f>Indeksacja!BB$56</f>
        <v>1.0095084744902243</v>
      </c>
      <c r="BC46" s="10">
        <f>Indeksacja!BC$56</f>
        <v>1.0095084744902243</v>
      </c>
      <c r="BD46" s="10">
        <f>Indeksacja!BD$56</f>
        <v>1.0095084744902243</v>
      </c>
      <c r="BE46" s="10">
        <f>Indeksacja!BE$56</f>
        <v>1.0100109483309445</v>
      </c>
      <c r="BF46" s="10">
        <f>Indeksacja!BF$56</f>
        <v>1.0100109483309445</v>
      </c>
      <c r="BG46" s="10">
        <f>Indeksacja!BG$56</f>
        <v>1.0100109483309445</v>
      </c>
      <c r="BH46" s="10">
        <f>Indeksacja!BH$56</f>
        <v>1.0105134221716647</v>
      </c>
      <c r="BI46" s="10">
        <f>Indeksacja!BI$56</f>
        <v>1.0105134221716647</v>
      </c>
    </row>
    <row r="47" spans="1:61">
      <c r="A47" s="540" t="s">
        <v>591</v>
      </c>
    </row>
    <row r="48" spans="1:61" s="613" customFormat="1"/>
    <row r="49" spans="1:61"/>
    <row r="50" spans="1:61">
      <c r="A50" s="720" t="s">
        <v>593</v>
      </c>
      <c r="B50" s="720"/>
      <c r="C50" s="720"/>
      <c r="D50" s="720"/>
      <c r="E50" s="720"/>
      <c r="F50" s="720"/>
      <c r="G50" s="720"/>
      <c r="H50" s="720"/>
      <c r="I50" s="720"/>
      <c r="J50" s="720"/>
      <c r="K50" s="720"/>
      <c r="L50" s="720"/>
      <c r="M50" s="720"/>
      <c r="N50" s="720"/>
      <c r="O50" s="720"/>
      <c r="P50" s="720"/>
      <c r="Q50" s="720"/>
      <c r="R50" s="720"/>
      <c r="S50" s="720"/>
      <c r="T50" s="720"/>
      <c r="U50" s="720"/>
      <c r="V50" s="720"/>
    </row>
    <row r="51" spans="1:61" s="613" customFormat="1">
      <c r="A51" s="720"/>
      <c r="B51" s="720"/>
      <c r="C51" s="720"/>
      <c r="D51" s="720"/>
      <c r="E51" s="720"/>
      <c r="F51" s="720"/>
      <c r="G51" s="720"/>
      <c r="H51" s="720"/>
      <c r="I51" s="720"/>
      <c r="J51" s="720"/>
      <c r="K51" s="720"/>
      <c r="L51" s="720"/>
      <c r="M51" s="720"/>
      <c r="N51" s="720"/>
      <c r="O51" s="720"/>
      <c r="P51" s="720"/>
      <c r="Q51" s="720"/>
      <c r="R51" s="720"/>
      <c r="S51" s="720"/>
      <c r="T51" s="720"/>
      <c r="U51" s="720"/>
      <c r="V51" s="720"/>
    </row>
    <row r="52" spans="1:61">
      <c r="A52" s="540" t="s">
        <v>582</v>
      </c>
    </row>
    <row r="53" spans="1:61">
      <c r="A53" s="718"/>
      <c r="B53" s="685" t="s">
        <v>328</v>
      </c>
      <c r="C53" s="671"/>
      <c r="D53" s="671"/>
      <c r="E53" s="671"/>
      <c r="F53" s="671"/>
      <c r="G53" s="671"/>
      <c r="H53" s="671"/>
      <c r="I53" s="671"/>
      <c r="J53" s="671"/>
      <c r="K53" s="671"/>
      <c r="L53" s="671"/>
      <c r="M53" s="671"/>
      <c r="N53" s="671"/>
      <c r="O53" s="671"/>
      <c r="P53" s="674"/>
      <c r="Q53" s="6"/>
      <c r="R53" s="6"/>
      <c r="S53" s="6"/>
      <c r="T53" s="6">
        <v>2020</v>
      </c>
      <c r="U53" s="6">
        <f>T53+1</f>
        <v>2021</v>
      </c>
      <c r="V53" s="6">
        <f t="shared" ref="V53:AK53" si="1">U53+1</f>
        <v>2022</v>
      </c>
      <c r="W53" s="6">
        <f t="shared" si="1"/>
        <v>2023</v>
      </c>
      <c r="X53" s="6">
        <f t="shared" si="1"/>
        <v>2024</v>
      </c>
      <c r="Y53" s="6">
        <f t="shared" si="1"/>
        <v>2025</v>
      </c>
      <c r="Z53" s="6">
        <f t="shared" si="1"/>
        <v>2026</v>
      </c>
      <c r="AA53" s="6">
        <f t="shared" si="1"/>
        <v>2027</v>
      </c>
      <c r="AB53" s="6">
        <f t="shared" si="1"/>
        <v>2028</v>
      </c>
      <c r="AC53" s="6">
        <f t="shared" si="1"/>
        <v>2029</v>
      </c>
      <c r="AD53" s="6">
        <f t="shared" si="1"/>
        <v>2030</v>
      </c>
      <c r="AE53" s="6">
        <f t="shared" si="1"/>
        <v>2031</v>
      </c>
      <c r="AF53" s="6">
        <f t="shared" si="1"/>
        <v>2032</v>
      </c>
      <c r="AG53" s="6">
        <f t="shared" si="1"/>
        <v>2033</v>
      </c>
      <c r="AH53" s="6">
        <f t="shared" si="1"/>
        <v>2034</v>
      </c>
      <c r="AI53" s="6">
        <f t="shared" si="1"/>
        <v>2035</v>
      </c>
      <c r="AJ53" s="6">
        <f t="shared" si="1"/>
        <v>2036</v>
      </c>
      <c r="AK53" s="6">
        <f t="shared" si="1"/>
        <v>2037</v>
      </c>
      <c r="AL53" s="6">
        <f t="shared" ref="AL53:BA53" si="2">AK53+1</f>
        <v>2038</v>
      </c>
      <c r="AM53" s="6">
        <f t="shared" si="2"/>
        <v>2039</v>
      </c>
      <c r="AN53" s="6">
        <f t="shared" si="2"/>
        <v>2040</v>
      </c>
      <c r="AO53" s="6">
        <f t="shared" si="2"/>
        <v>2041</v>
      </c>
      <c r="AP53" s="6">
        <f t="shared" si="2"/>
        <v>2042</v>
      </c>
      <c r="AQ53" s="6">
        <f t="shared" si="2"/>
        <v>2043</v>
      </c>
      <c r="AR53" s="6">
        <f t="shared" si="2"/>
        <v>2044</v>
      </c>
      <c r="AS53" s="6">
        <f t="shared" si="2"/>
        <v>2045</v>
      </c>
      <c r="AT53" s="6">
        <f t="shared" si="2"/>
        <v>2046</v>
      </c>
      <c r="AU53" s="6">
        <f t="shared" si="2"/>
        <v>2047</v>
      </c>
      <c r="AV53" s="6">
        <f t="shared" si="2"/>
        <v>2048</v>
      </c>
      <c r="AW53" s="6">
        <f t="shared" si="2"/>
        <v>2049</v>
      </c>
      <c r="AX53" s="6">
        <f t="shared" si="2"/>
        <v>2050</v>
      </c>
      <c r="AY53" s="6">
        <f t="shared" si="2"/>
        <v>2051</v>
      </c>
      <c r="AZ53" s="6">
        <f t="shared" si="2"/>
        <v>2052</v>
      </c>
      <c r="BA53" s="6">
        <f t="shared" si="2"/>
        <v>2053</v>
      </c>
      <c r="BB53" s="6">
        <f t="shared" ref="BB53:BI53" si="3">BA53+1</f>
        <v>2054</v>
      </c>
      <c r="BC53" s="6">
        <f t="shared" si="3"/>
        <v>2055</v>
      </c>
      <c r="BD53" s="6">
        <f t="shared" si="3"/>
        <v>2056</v>
      </c>
      <c r="BE53" s="6">
        <f t="shared" si="3"/>
        <v>2057</v>
      </c>
      <c r="BF53" s="6">
        <f t="shared" si="3"/>
        <v>2058</v>
      </c>
      <c r="BG53" s="6">
        <f t="shared" si="3"/>
        <v>2059</v>
      </c>
      <c r="BH53" s="6">
        <f t="shared" si="3"/>
        <v>2060</v>
      </c>
      <c r="BI53" s="6">
        <f t="shared" si="3"/>
        <v>2061</v>
      </c>
    </row>
    <row r="54" spans="1:61">
      <c r="A54" s="719"/>
      <c r="B54" s="686" t="s">
        <v>530</v>
      </c>
      <c r="C54" s="681"/>
      <c r="D54" s="681"/>
      <c r="E54" s="681"/>
      <c r="F54" s="681"/>
      <c r="G54" s="681"/>
      <c r="H54" s="681"/>
      <c r="I54" s="681"/>
      <c r="J54" s="681"/>
      <c r="K54" s="681"/>
      <c r="L54" s="681"/>
      <c r="M54" s="681"/>
      <c r="N54" s="681"/>
      <c r="O54" s="681"/>
      <c r="P54" s="687"/>
      <c r="Q54" s="683">
        <f>DATE(2016,12,31)</f>
        <v>42735</v>
      </c>
      <c r="R54" s="683">
        <f>DATE(YEAR(Q54+1),12,31)</f>
        <v>43100</v>
      </c>
      <c r="S54" s="683">
        <f t="shared" ref="S54" si="4">DATE(YEAR(R54+1),12,31)</f>
        <v>43465</v>
      </c>
      <c r="T54" s="683">
        <f>DATE(YEAR(S54+1),12,31)</f>
        <v>43830</v>
      </c>
      <c r="U54" s="683">
        <f t="shared" ref="U54:BI54" si="5">DATE(YEAR(T54+1),12,31)</f>
        <v>44196</v>
      </c>
      <c r="V54" s="683">
        <f t="shared" si="5"/>
        <v>44561</v>
      </c>
      <c r="W54" s="683">
        <f t="shared" si="5"/>
        <v>44926</v>
      </c>
      <c r="X54" s="683">
        <f t="shared" si="5"/>
        <v>45291</v>
      </c>
      <c r="Y54" s="683">
        <f t="shared" si="5"/>
        <v>45657</v>
      </c>
      <c r="Z54" s="683">
        <f t="shared" si="5"/>
        <v>46022</v>
      </c>
      <c r="AA54" s="683">
        <f t="shared" si="5"/>
        <v>46387</v>
      </c>
      <c r="AB54" s="683">
        <f t="shared" si="5"/>
        <v>46752</v>
      </c>
      <c r="AC54" s="683">
        <f t="shared" si="5"/>
        <v>47118</v>
      </c>
      <c r="AD54" s="683">
        <f t="shared" si="5"/>
        <v>47483</v>
      </c>
      <c r="AE54" s="683">
        <f t="shared" si="5"/>
        <v>47848</v>
      </c>
      <c r="AF54" s="683">
        <f t="shared" si="5"/>
        <v>48213</v>
      </c>
      <c r="AG54" s="683">
        <f t="shared" si="5"/>
        <v>48579</v>
      </c>
      <c r="AH54" s="683">
        <f t="shared" si="5"/>
        <v>48944</v>
      </c>
      <c r="AI54" s="683">
        <f t="shared" si="5"/>
        <v>49309</v>
      </c>
      <c r="AJ54" s="683">
        <f t="shared" si="5"/>
        <v>49674</v>
      </c>
      <c r="AK54" s="683">
        <f t="shared" si="5"/>
        <v>50040</v>
      </c>
      <c r="AL54" s="683">
        <f t="shared" si="5"/>
        <v>50405</v>
      </c>
      <c r="AM54" s="683">
        <f t="shared" si="5"/>
        <v>50770</v>
      </c>
      <c r="AN54" s="683">
        <f t="shared" si="5"/>
        <v>51135</v>
      </c>
      <c r="AO54" s="683">
        <f t="shared" si="5"/>
        <v>51501</v>
      </c>
      <c r="AP54" s="683">
        <f t="shared" si="5"/>
        <v>51866</v>
      </c>
      <c r="AQ54" s="683">
        <f t="shared" si="5"/>
        <v>52231</v>
      </c>
      <c r="AR54" s="683">
        <f t="shared" si="5"/>
        <v>52596</v>
      </c>
      <c r="AS54" s="683">
        <f t="shared" si="5"/>
        <v>52962</v>
      </c>
      <c r="AT54" s="683">
        <f t="shared" si="5"/>
        <v>53327</v>
      </c>
      <c r="AU54" s="683">
        <f t="shared" si="5"/>
        <v>53692</v>
      </c>
      <c r="AV54" s="683">
        <f t="shared" si="5"/>
        <v>54057</v>
      </c>
      <c r="AW54" s="683">
        <f t="shared" si="5"/>
        <v>54423</v>
      </c>
      <c r="AX54" s="683">
        <f t="shared" si="5"/>
        <v>54788</v>
      </c>
      <c r="AY54" s="683">
        <f t="shared" si="5"/>
        <v>55153</v>
      </c>
      <c r="AZ54" s="683">
        <f t="shared" si="5"/>
        <v>55518</v>
      </c>
      <c r="BA54" s="683">
        <f t="shared" si="5"/>
        <v>55884</v>
      </c>
      <c r="BB54" s="683">
        <f t="shared" si="5"/>
        <v>56249</v>
      </c>
      <c r="BC54" s="683">
        <f t="shared" si="5"/>
        <v>56614</v>
      </c>
      <c r="BD54" s="683">
        <f t="shared" si="5"/>
        <v>56979</v>
      </c>
      <c r="BE54" s="683">
        <f t="shared" si="5"/>
        <v>57345</v>
      </c>
      <c r="BF54" s="683">
        <f t="shared" si="5"/>
        <v>57710</v>
      </c>
      <c r="BG54" s="683">
        <f t="shared" si="5"/>
        <v>58075</v>
      </c>
      <c r="BH54" s="683">
        <f t="shared" si="5"/>
        <v>58440</v>
      </c>
      <c r="BI54" s="683">
        <f t="shared" si="5"/>
        <v>58806</v>
      </c>
    </row>
    <row r="55" spans="1:61" ht="30">
      <c r="A55" s="8" t="s">
        <v>365</v>
      </c>
      <c r="B55" s="129" t="s">
        <v>371</v>
      </c>
      <c r="C55" s="13"/>
      <c r="D55" s="13"/>
      <c r="E55" s="13"/>
      <c r="F55" s="13"/>
      <c r="G55" s="13"/>
      <c r="H55" s="13"/>
      <c r="I55" s="13"/>
      <c r="J55" s="13"/>
      <c r="K55" s="13"/>
      <c r="L55" s="13"/>
      <c r="M55" s="13"/>
      <c r="N55" s="13"/>
      <c r="O55" s="13"/>
      <c r="P55" s="13"/>
      <c r="Q55" s="93"/>
      <c r="R55" s="93"/>
      <c r="S55" s="204">
        <f>$P$17*$Q$34*$Q$38/100*$S$46</f>
        <v>1131.0238123835375</v>
      </c>
      <c r="T55" s="207">
        <f>S55*T$46</f>
        <v>1184.247927536979</v>
      </c>
      <c r="U55" s="10">
        <f>T55*U$46</f>
        <v>1211.0013248515561</v>
      </c>
      <c r="V55" s="10">
        <f t="shared" ref="V55:BI57" si="6">U55*V$46</f>
        <v>1310.4908947956519</v>
      </c>
      <c r="W55" s="10">
        <f t="shared" si="6"/>
        <v>1336.6952222568621</v>
      </c>
      <c r="X55" s="10">
        <f t="shared" si="6"/>
        <v>1359.5163094663894</v>
      </c>
      <c r="Y55" s="10">
        <f t="shared" si="6"/>
        <v>1381.486985471917</v>
      </c>
      <c r="Z55" s="10">
        <f t="shared" si="6"/>
        <v>1404.6331450389957</v>
      </c>
      <c r="AA55" s="10">
        <f t="shared" si="6"/>
        <v>1427.5942483941997</v>
      </c>
      <c r="AB55" s="10">
        <f t="shared" si="6"/>
        <v>1451.0648443302543</v>
      </c>
      <c r="AC55" s="10">
        <f t="shared" si="6"/>
        <v>1474.3290726582275</v>
      </c>
      <c r="AD55" s="10">
        <f t="shared" si="6"/>
        <v>1497.361118203906</v>
      </c>
      <c r="AE55" s="10">
        <f t="shared" si="6"/>
        <v>1520.1338809736164</v>
      </c>
      <c r="AF55" s="10">
        <f t="shared" si="6"/>
        <v>1543.4035016546941</v>
      </c>
      <c r="AG55" s="10">
        <f t="shared" si="6"/>
        <v>1566.398363303869</v>
      </c>
      <c r="AH55" s="10">
        <f t="shared" si="6"/>
        <v>1589.8708277135747</v>
      </c>
      <c r="AI55" s="10">
        <f t="shared" si="6"/>
        <v>1613.0215237175501</v>
      </c>
      <c r="AJ55" s="10">
        <f t="shared" si="6"/>
        <v>1635.8099390713967</v>
      </c>
      <c r="AK55" s="10">
        <f t="shared" si="6"/>
        <v>1658.2100909332614</v>
      </c>
      <c r="AL55" s="10">
        <f t="shared" si="6"/>
        <v>1680.1833737629379</v>
      </c>
      <c r="AM55" s="10">
        <f t="shared" si="6"/>
        <v>1701.691331927494</v>
      </c>
      <c r="AN55" s="10">
        <f t="shared" si="6"/>
        <v>1722.6943271201367</v>
      </c>
      <c r="AO55" s="10">
        <f t="shared" si="6"/>
        <v>1744.0253040538335</v>
      </c>
      <c r="AP55" s="10">
        <f t="shared" si="6"/>
        <v>1763.9220657288067</v>
      </c>
      <c r="AQ55" s="10">
        <f t="shared" si="6"/>
        <v>1784.0998501671522</v>
      </c>
      <c r="AR55" s="10">
        <f t="shared" si="6"/>
        <v>1804.5545527288768</v>
      </c>
      <c r="AS55" s="10">
        <f t="shared" si="6"/>
        <v>1824.3842042732947</v>
      </c>
      <c r="AT55" s="10">
        <f t="shared" si="6"/>
        <v>1843.5586212031053</v>
      </c>
      <c r="AU55" s="10">
        <f t="shared" si="6"/>
        <v>1862.0483911635538</v>
      </c>
      <c r="AV55" s="10">
        <f t="shared" si="6"/>
        <v>1880.7646060704751</v>
      </c>
      <c r="AW55" s="10">
        <f t="shared" si="6"/>
        <v>1899.7006038698178</v>
      </c>
      <c r="AX55" s="10">
        <f t="shared" si="6"/>
        <v>1918.8563006079671</v>
      </c>
      <c r="AY55" s="10">
        <f t="shared" si="6"/>
        <v>1937.2617188549416</v>
      </c>
      <c r="AZ55" s="10">
        <f t="shared" si="6"/>
        <v>1955.6821224895618</v>
      </c>
      <c r="BA55" s="10">
        <f t="shared" si="6"/>
        <v>1974.2776760622414</v>
      </c>
      <c r="BB55" s="10">
        <f t="shared" si="6"/>
        <v>1993.0500449816986</v>
      </c>
      <c r="BC55" s="10">
        <f t="shared" si="6"/>
        <v>2012.0009104921476</v>
      </c>
      <c r="BD55" s="10">
        <f t="shared" si="6"/>
        <v>2031.1319698238701</v>
      </c>
      <c r="BE55" s="10">
        <f t="shared" si="6"/>
        <v>2051.4655270271064</v>
      </c>
      <c r="BF55" s="10">
        <f t="shared" si="6"/>
        <v>2072.0026424208886</v>
      </c>
      <c r="BG55" s="10">
        <f t="shared" si="6"/>
        <v>2092.7453538157447</v>
      </c>
      <c r="BH55" s="10">
        <f t="shared" si="6"/>
        <v>2114.7472692181996</v>
      </c>
      <c r="BI55" s="10">
        <f t="shared" si="6"/>
        <v>2136.9805000458655</v>
      </c>
    </row>
    <row r="56" spans="1:61" ht="30">
      <c r="A56" s="8" t="s">
        <v>366</v>
      </c>
      <c r="B56" s="129" t="s">
        <v>371</v>
      </c>
      <c r="C56" s="13"/>
      <c r="D56" s="13"/>
      <c r="E56" s="13"/>
      <c r="F56" s="13"/>
      <c r="G56" s="13"/>
      <c r="H56" s="13"/>
      <c r="I56" s="13"/>
      <c r="J56" s="13"/>
      <c r="K56" s="13"/>
      <c r="L56" s="13"/>
      <c r="M56" s="13"/>
      <c r="N56" s="13"/>
      <c r="O56" s="13"/>
      <c r="P56" s="13"/>
      <c r="Q56" s="93"/>
      <c r="R56" s="93"/>
      <c r="S56" s="204">
        <f>$R$17*$Q$34*$Q$38/100*$S$46</f>
        <v>1197.5020595461244</v>
      </c>
      <c r="T56" s="207">
        <f t="shared" ref="T56" si="7">S56*T$46</f>
        <v>1253.854531364952</v>
      </c>
      <c r="U56" s="10">
        <f t="shared" ref="U56:AJ57" si="8">T56*U$46</f>
        <v>1282.1804145455599</v>
      </c>
      <c r="V56" s="10">
        <f t="shared" si="8"/>
        <v>1387.5176882677972</v>
      </c>
      <c r="W56" s="10">
        <f t="shared" si="8"/>
        <v>1415.2622288868758</v>
      </c>
      <c r="X56" s="10">
        <f t="shared" si="8"/>
        <v>1439.4246723608983</v>
      </c>
      <c r="Y56" s="10">
        <f t="shared" si="8"/>
        <v>1462.6867199660624</v>
      </c>
      <c r="Z56" s="10">
        <f t="shared" si="8"/>
        <v>1487.1933425929967</v>
      </c>
      <c r="AA56" s="10">
        <f t="shared" si="8"/>
        <v>1511.504031949185</v>
      </c>
      <c r="AB56" s="10">
        <f t="shared" si="8"/>
        <v>1536.3541603589213</v>
      </c>
      <c r="AC56" s="10">
        <f t="shared" si="8"/>
        <v>1560.9857914806291</v>
      </c>
      <c r="AD56" s="10">
        <f t="shared" si="8"/>
        <v>1585.3715928002191</v>
      </c>
      <c r="AE56" s="10">
        <f t="shared" si="8"/>
        <v>1609.482871466239</v>
      </c>
      <c r="AF56" s="10">
        <f t="shared" si="8"/>
        <v>1634.1202118876786</v>
      </c>
      <c r="AG56" s="10">
        <f t="shared" si="8"/>
        <v>1658.4666437508897</v>
      </c>
      <c r="AH56" s="10">
        <f t="shared" si="8"/>
        <v>1683.3187504576529</v>
      </c>
      <c r="AI56" s="10">
        <f t="shared" si="8"/>
        <v>1707.8301761598782</v>
      </c>
      <c r="AJ56" s="10">
        <f t="shared" si="8"/>
        <v>1731.9580274228099</v>
      </c>
      <c r="AK56" s="10">
        <f t="shared" si="6"/>
        <v>1755.6747942097081</v>
      </c>
      <c r="AL56" s="10">
        <f t="shared" si="6"/>
        <v>1778.9396018604634</v>
      </c>
      <c r="AM56" s="10">
        <f t="shared" si="6"/>
        <v>1801.7117344333485</v>
      </c>
      <c r="AN56" s="10">
        <f t="shared" si="6"/>
        <v>1823.9492237986901</v>
      </c>
      <c r="AO56" s="10">
        <f t="shared" si="6"/>
        <v>1846.5339727054361</v>
      </c>
      <c r="AP56" s="10">
        <f t="shared" si="6"/>
        <v>1867.6002074064249</v>
      </c>
      <c r="AQ56" s="10">
        <f t="shared" si="6"/>
        <v>1888.9639825607917</v>
      </c>
      <c r="AR56" s="10">
        <f t="shared" si="6"/>
        <v>1910.6209522698982</v>
      </c>
      <c r="AS56" s="10">
        <f t="shared" si="6"/>
        <v>1931.6161323045958</v>
      </c>
      <c r="AT56" s="10">
        <f t="shared" si="6"/>
        <v>1951.9175649646695</v>
      </c>
      <c r="AU56" s="10">
        <f t="shared" si="6"/>
        <v>1971.4941091238147</v>
      </c>
      <c r="AV56" s="10">
        <f t="shared" si="6"/>
        <v>1991.3104079961729</v>
      </c>
      <c r="AW56" s="10">
        <f t="shared" si="6"/>
        <v>2011.359407951785</v>
      </c>
      <c r="AX56" s="10">
        <f t="shared" si="6"/>
        <v>2031.6410201024901</v>
      </c>
      <c r="AY56" s="10">
        <f t="shared" si="6"/>
        <v>2051.1282546029834</v>
      </c>
      <c r="AZ56" s="10">
        <f t="shared" si="6"/>
        <v>2070.6313552880542</v>
      </c>
      <c r="BA56" s="10">
        <f t="shared" si="6"/>
        <v>2090.319900708469</v>
      </c>
      <c r="BB56" s="10">
        <f t="shared" si="6"/>
        <v>2110.1956541607638</v>
      </c>
      <c r="BC56" s="10">
        <f t="shared" si="6"/>
        <v>2130.2603957077336</v>
      </c>
      <c r="BD56" s="10">
        <f t="shared" si="6"/>
        <v>2150.5159223378555</v>
      </c>
      <c r="BE56" s="10">
        <f t="shared" si="6"/>
        <v>2172.0446261212533</v>
      </c>
      <c r="BF56" s="10">
        <f t="shared" si="6"/>
        <v>2193.7888526458587</v>
      </c>
      <c r="BG56" s="10">
        <f t="shared" si="6"/>
        <v>2215.7507594986982</v>
      </c>
      <c r="BH56" s="10">
        <f t="shared" si="6"/>
        <v>2239.045882660495</v>
      </c>
      <c r="BI56" s="10">
        <f t="shared" si="6"/>
        <v>2262.5859172866326</v>
      </c>
    </row>
    <row r="57" spans="1:61" ht="30">
      <c r="A57" s="8" t="s">
        <v>367</v>
      </c>
      <c r="B57" s="129" t="s">
        <v>371</v>
      </c>
      <c r="C57" s="13"/>
      <c r="D57" s="13"/>
      <c r="E57" s="13"/>
      <c r="F57" s="13"/>
      <c r="G57" s="13"/>
      <c r="H57" s="13"/>
      <c r="I57" s="13"/>
      <c r="J57" s="13"/>
      <c r="K57" s="13"/>
      <c r="L57" s="13"/>
      <c r="M57" s="13"/>
      <c r="N57" s="13"/>
      <c r="O57" s="13"/>
      <c r="P57" s="13"/>
      <c r="Q57" s="93"/>
      <c r="R57" s="93"/>
      <c r="S57" s="204">
        <f>$T$17*$Q$34*$Q$38/100*$S$46</f>
        <v>1252.2995393244062</v>
      </c>
      <c r="T57" s="207">
        <f t="shared" ref="T57:AI60" si="9">S57*T$46</f>
        <v>1311.2306901612212</v>
      </c>
      <c r="U57" s="10">
        <f t="shared" si="8"/>
        <v>1340.8527606831517</v>
      </c>
      <c r="V57" s="10">
        <f t="shared" si="6"/>
        <v>1451.0102491855466</v>
      </c>
      <c r="W57" s="10">
        <f t="shared" si="6"/>
        <v>1480.0243750144477</v>
      </c>
      <c r="X57" s="10">
        <f t="shared" si="6"/>
        <v>1505.2924875744704</v>
      </c>
      <c r="Y57" s="10">
        <f t="shared" si="6"/>
        <v>1529.619002311932</v>
      </c>
      <c r="Z57" s="10">
        <f t="shared" si="6"/>
        <v>1555.2470436012632</v>
      </c>
      <c r="AA57" s="10">
        <f t="shared" si="6"/>
        <v>1580.6701857484695</v>
      </c>
      <c r="AB57" s="10">
        <f t="shared" si="6"/>
        <v>1606.6574515837033</v>
      </c>
      <c r="AC57" s="10">
        <f t="shared" si="6"/>
        <v>1632.4162217341402</v>
      </c>
      <c r="AD57" s="10">
        <f t="shared" si="6"/>
        <v>1657.9179129547413</v>
      </c>
      <c r="AE57" s="10">
        <f t="shared" si="6"/>
        <v>1683.1325194143103</v>
      </c>
      <c r="AF57" s="10">
        <f t="shared" si="6"/>
        <v>1708.8972601210121</v>
      </c>
      <c r="AG57" s="10">
        <f t="shared" si="6"/>
        <v>1734.3577803459614</v>
      </c>
      <c r="AH57" s="10">
        <f t="shared" si="6"/>
        <v>1760.3471150047396</v>
      </c>
      <c r="AI57" s="10">
        <f t="shared" si="6"/>
        <v>1785.9801791572268</v>
      </c>
      <c r="AJ57" s="10">
        <f t="shared" si="6"/>
        <v>1811.2121165727744</v>
      </c>
      <c r="AK57" s="10">
        <f t="shared" si="6"/>
        <v>1836.0141583602885</v>
      </c>
      <c r="AL57" s="10">
        <f t="shared" si="6"/>
        <v>1860.3435594425334</v>
      </c>
      <c r="AM57" s="10">
        <f t="shared" si="6"/>
        <v>1884.1577407235802</v>
      </c>
      <c r="AN57" s="10">
        <f t="shared" si="6"/>
        <v>1907.4128136196582</v>
      </c>
      <c r="AO57" s="10">
        <f t="shared" si="6"/>
        <v>1931.031036591563</v>
      </c>
      <c r="AP57" s="10">
        <f t="shared" si="6"/>
        <v>1953.0612584196133</v>
      </c>
      <c r="AQ57" s="10">
        <f t="shared" si="6"/>
        <v>1975.4026360989001</v>
      </c>
      <c r="AR57" s="10">
        <f t="shared" si="6"/>
        <v>1998.0506248632419</v>
      </c>
      <c r="AS57" s="10">
        <f t="shared" si="6"/>
        <v>2020.0065405761968</v>
      </c>
      <c r="AT57" s="10">
        <f t="shared" si="6"/>
        <v>2041.236963158912</v>
      </c>
      <c r="AU57" s="10">
        <f t="shared" si="6"/>
        <v>2061.70932647272</v>
      </c>
      <c r="AV57" s="10">
        <f t="shared" si="6"/>
        <v>2082.4324156324788</v>
      </c>
      <c r="AW57" s="10">
        <f t="shared" si="6"/>
        <v>2103.3988542353854</v>
      </c>
      <c r="AX57" s="10">
        <f t="shared" si="6"/>
        <v>2124.6085493257729</v>
      </c>
      <c r="AY57" s="10">
        <f t="shared" si="6"/>
        <v>2144.9875161869436</v>
      </c>
      <c r="AZ57" s="10">
        <f t="shared" si="6"/>
        <v>2165.3830752664567</v>
      </c>
      <c r="BA57" s="10">
        <f t="shared" si="6"/>
        <v>2185.972564999191</v>
      </c>
      <c r="BB57" s="10">
        <f t="shared" si="6"/>
        <v>2206.7578293698161</v>
      </c>
      <c r="BC57" s="10">
        <f t="shared" si="6"/>
        <v>2227.7407298964818</v>
      </c>
      <c r="BD57" s="10">
        <f t="shared" si="6"/>
        <v>2248.9231457975361</v>
      </c>
      <c r="BE57" s="10">
        <f t="shared" si="6"/>
        <v>2271.4369992103802</v>
      </c>
      <c r="BF57" s="10">
        <f t="shared" si="6"/>
        <v>2294.1762376464708</v>
      </c>
      <c r="BG57" s="10">
        <f t="shared" si="6"/>
        <v>2317.1431174236304</v>
      </c>
      <c r="BH57" s="10">
        <f t="shared" si="6"/>
        <v>2341.5042212492722</v>
      </c>
      <c r="BI57" s="10">
        <f t="shared" si="6"/>
        <v>2366.1214436440009</v>
      </c>
    </row>
    <row r="58" spans="1:61" ht="30">
      <c r="A58" s="8" t="s">
        <v>368</v>
      </c>
      <c r="B58" s="129" t="s">
        <v>371</v>
      </c>
      <c r="C58" s="13"/>
      <c r="D58" s="13"/>
      <c r="E58" s="13"/>
      <c r="F58" s="13"/>
      <c r="G58" s="13"/>
      <c r="H58" s="13"/>
      <c r="I58" s="13"/>
      <c r="J58" s="13"/>
      <c r="K58" s="13"/>
      <c r="L58" s="13"/>
      <c r="M58" s="13"/>
      <c r="N58" s="13"/>
      <c r="O58" s="13"/>
      <c r="P58" s="13"/>
      <c r="Q58" s="93"/>
      <c r="R58" s="93"/>
      <c r="S58" s="204">
        <f>$V$17*$Q$34*$Q$38/100*$S$46</f>
        <v>1353.4690273250781</v>
      </c>
      <c r="T58" s="207">
        <f t="shared" si="9"/>
        <v>1417.1610474030233</v>
      </c>
      <c r="U58" s="10">
        <f t="shared" si="9"/>
        <v>1449.1761953110879</v>
      </c>
      <c r="V58" s="10">
        <f t="shared" si="9"/>
        <v>1568.2329737686957</v>
      </c>
      <c r="W58" s="10">
        <f t="shared" si="9"/>
        <v>1599.5910629727496</v>
      </c>
      <c r="X58" s="10">
        <f t="shared" si="9"/>
        <v>1626.900509838317</v>
      </c>
      <c r="Y58" s="10">
        <f t="shared" si="9"/>
        <v>1653.1922900442603</v>
      </c>
      <c r="Z58" s="10">
        <f t="shared" si="9"/>
        <v>1680.8907431913649</v>
      </c>
      <c r="AA58" s="10">
        <f t="shared" si="9"/>
        <v>1708.3677440150575</v>
      </c>
      <c r="AB58" s="10">
        <f t="shared" si="9"/>
        <v>1736.4544423714485</v>
      </c>
      <c r="AC58" s="10">
        <f t="shared" si="9"/>
        <v>1764.2941855685199</v>
      </c>
      <c r="AD58" s="10">
        <f t="shared" si="9"/>
        <v>1791.8560812074115</v>
      </c>
      <c r="AE58" s="10">
        <f t="shared" si="9"/>
        <v>1819.1076993766785</v>
      </c>
      <c r="AF58" s="10">
        <f t="shared" si="9"/>
        <v>1846.9538954731775</v>
      </c>
      <c r="AG58" s="10">
        <f t="shared" si="9"/>
        <v>1874.4712940363383</v>
      </c>
      <c r="AH58" s="10">
        <f t="shared" si="9"/>
        <v>1902.560228350264</v>
      </c>
      <c r="AI58" s="10">
        <f t="shared" si="9"/>
        <v>1930.2641101424306</v>
      </c>
      <c r="AJ58" s="10">
        <f t="shared" ref="AJ58:BI58" si="10">AI58*AJ$46</f>
        <v>1957.5344593831339</v>
      </c>
      <c r="AK58" s="10">
        <f t="shared" si="10"/>
        <v>1984.3401830296764</v>
      </c>
      <c r="AL58" s="10">
        <f t="shared" si="10"/>
        <v>2010.6350827594586</v>
      </c>
      <c r="AM58" s="10">
        <f t="shared" si="10"/>
        <v>2036.3731396403148</v>
      </c>
      <c r="AN58" s="10">
        <f t="shared" si="10"/>
        <v>2061.5069194626794</v>
      </c>
      <c r="AO58" s="10">
        <f t="shared" si="10"/>
        <v>2087.033187155931</v>
      </c>
      <c r="AP58" s="10">
        <f t="shared" si="10"/>
        <v>2110.8431639011533</v>
      </c>
      <c r="AQ58" s="10">
        <f t="shared" si="10"/>
        <v>2134.9894338366989</v>
      </c>
      <c r="AR58" s="10">
        <f t="shared" si="10"/>
        <v>2159.4670850384873</v>
      </c>
      <c r="AS58" s="10">
        <f t="shared" si="10"/>
        <v>2183.196752702564</v>
      </c>
      <c r="AT58" s="10">
        <f t="shared" si="10"/>
        <v>2206.1423168430965</v>
      </c>
      <c r="AU58" s="10">
        <f t="shared" si="10"/>
        <v>2228.2685804016805</v>
      </c>
      <c r="AV58" s="10">
        <f t="shared" si="10"/>
        <v>2250.6658251881481</v>
      </c>
      <c r="AW58" s="10">
        <f t="shared" si="10"/>
        <v>2273.3260788824487</v>
      </c>
      <c r="AX58" s="10">
        <f t="shared" si="10"/>
        <v>2296.2492410193086</v>
      </c>
      <c r="AY58" s="10">
        <f t="shared" si="10"/>
        <v>2318.274562908638</v>
      </c>
      <c r="AZ58" s="10">
        <f t="shared" si="10"/>
        <v>2340.3178174513905</v>
      </c>
      <c r="BA58" s="10">
        <f t="shared" si="10"/>
        <v>2362.5706697176443</v>
      </c>
      <c r="BB58" s="10">
        <f t="shared" si="10"/>
        <v>2385.0351126620067</v>
      </c>
      <c r="BC58" s="10">
        <f t="shared" si="10"/>
        <v>2407.7131581890426</v>
      </c>
      <c r="BD58" s="10">
        <f t="shared" si="10"/>
        <v>2430.6068373334606</v>
      </c>
      <c r="BE58" s="10">
        <f t="shared" si="10"/>
        <v>2454.9395167948464</v>
      </c>
      <c r="BF58" s="10">
        <f t="shared" si="10"/>
        <v>2479.5157894530735</v>
      </c>
      <c r="BG58" s="10">
        <f t="shared" si="10"/>
        <v>2504.3380939070494</v>
      </c>
      <c r="BH58" s="10">
        <f t="shared" si="10"/>
        <v>2530.6672575488765</v>
      </c>
      <c r="BI58" s="10">
        <f t="shared" si="10"/>
        <v>2557.273230803497</v>
      </c>
    </row>
    <row r="59" spans="1:61" ht="45">
      <c r="A59" s="8" t="s">
        <v>369</v>
      </c>
      <c r="B59" s="129" t="s">
        <v>371</v>
      </c>
      <c r="C59" s="13"/>
      <c r="D59" s="13"/>
      <c r="E59" s="13"/>
      <c r="F59" s="13"/>
      <c r="G59" s="13"/>
      <c r="H59" s="13"/>
      <c r="I59" s="13"/>
      <c r="J59" s="13"/>
      <c r="K59" s="13"/>
      <c r="L59" s="13"/>
      <c r="M59" s="13"/>
      <c r="N59" s="13"/>
      <c r="O59" s="13"/>
      <c r="P59" s="13"/>
      <c r="Q59" s="93"/>
      <c r="R59" s="93"/>
      <c r="S59" s="204">
        <f>$X$17*$Q$34*$Q$38/100*$S$46</f>
        <v>1045.3010222353341</v>
      </c>
      <c r="T59" s="207">
        <f t="shared" si="9"/>
        <v>1094.4911642715279</v>
      </c>
      <c r="U59" s="10">
        <f t="shared" si="9"/>
        <v>1119.2168625769075</v>
      </c>
      <c r="V59" s="10">
        <f t="shared" si="9"/>
        <v>1211.1658985084794</v>
      </c>
      <c r="W59" s="10">
        <f t="shared" si="9"/>
        <v>1235.3841421761058</v>
      </c>
      <c r="X59" s="10">
        <f t="shared" si="9"/>
        <v>1256.4755688352566</v>
      </c>
      <c r="Y59" s="10">
        <f t="shared" si="9"/>
        <v>1276.7810388318435</v>
      </c>
      <c r="Z59" s="10">
        <f t="shared" si="9"/>
        <v>1298.1728998973513</v>
      </c>
      <c r="AA59" s="10">
        <f t="shared" si="9"/>
        <v>1319.3937305695765</v>
      </c>
      <c r="AB59" s="10">
        <f t="shared" si="9"/>
        <v>1341.085438255843</v>
      </c>
      <c r="AC59" s="10">
        <f t="shared" si="9"/>
        <v>1362.5864193903587</v>
      </c>
      <c r="AD59" s="10">
        <f t="shared" si="9"/>
        <v>1383.872815387921</v>
      </c>
      <c r="AE59" s="10">
        <f t="shared" si="9"/>
        <v>1404.9195802231682</v>
      </c>
      <c r="AF59" s="10">
        <f t="shared" si="9"/>
        <v>1426.4255450124494</v>
      </c>
      <c r="AG59" s="10">
        <f t="shared" si="9"/>
        <v>1447.6775753630639</v>
      </c>
      <c r="AH59" s="10">
        <f t="shared" si="9"/>
        <v>1469.3710099072409</v>
      </c>
      <c r="AI59" s="10">
        <f t="shared" si="9"/>
        <v>1490.7670635830841</v>
      </c>
      <c r="AJ59" s="10">
        <f t="shared" ref="AJ59:BI59" si="11">AI59*AJ$46</f>
        <v>1511.8282946585812</v>
      </c>
      <c r="AK59" s="10">
        <f t="shared" si="11"/>
        <v>1532.5306895887895</v>
      </c>
      <c r="AL59" s="10">
        <f t="shared" si="11"/>
        <v>1552.8385688325716</v>
      </c>
      <c r="AM59" s="10">
        <f t="shared" si="11"/>
        <v>1572.7163913942609</v>
      </c>
      <c r="AN59" s="10">
        <f t="shared" si="11"/>
        <v>1592.1275232417911</v>
      </c>
      <c r="AO59" s="10">
        <f t="shared" si="11"/>
        <v>1611.8417783705863</v>
      </c>
      <c r="AP59" s="10">
        <f t="shared" si="11"/>
        <v>1630.2305205794635</v>
      </c>
      <c r="AQ59" s="10">
        <f t="shared" si="11"/>
        <v>1648.878986216449</v>
      </c>
      <c r="AR59" s="10">
        <f t="shared" si="11"/>
        <v>1667.7833817412709</v>
      </c>
      <c r="AS59" s="10">
        <f t="shared" si="11"/>
        <v>1686.1101002444543</v>
      </c>
      <c r="AT59" s="10">
        <f t="shared" si="11"/>
        <v>1703.8312458101329</v>
      </c>
      <c r="AU59" s="10">
        <f t="shared" si="11"/>
        <v>1720.9196353108121</v>
      </c>
      <c r="AV59" s="10">
        <f t="shared" si="11"/>
        <v>1738.2173069958594</v>
      </c>
      <c r="AW59" s="10">
        <f t="shared" si="11"/>
        <v>1755.7181037429987</v>
      </c>
      <c r="AX59" s="10">
        <f t="shared" si="11"/>
        <v>1773.4219479616449</v>
      </c>
      <c r="AY59" s="10">
        <f t="shared" si="11"/>
        <v>1790.4323789513217</v>
      </c>
      <c r="AZ59" s="10">
        <f t="shared" si="11"/>
        <v>1807.4566595530518</v>
      </c>
      <c r="BA59" s="10">
        <f t="shared" si="11"/>
        <v>1824.6428150925981</v>
      </c>
      <c r="BB59" s="10">
        <f t="shared" si="11"/>
        <v>1841.992384753677</v>
      </c>
      <c r="BC59" s="10">
        <f t="shared" si="11"/>
        <v>1859.5069223552948</v>
      </c>
      <c r="BD59" s="10">
        <f t="shared" si="11"/>
        <v>1877.1879964909056</v>
      </c>
      <c r="BE59" s="10">
        <f t="shared" si="11"/>
        <v>1895.9804285312453</v>
      </c>
      <c r="BF59" s="10">
        <f t="shared" si="11"/>
        <v>1914.9609906377536</v>
      </c>
      <c r="BG59" s="10">
        <f t="shared" si="11"/>
        <v>1934.1315661708024</v>
      </c>
      <c r="BH59" s="10">
        <f t="shared" si="11"/>
        <v>1954.4659078614991</v>
      </c>
      <c r="BI59" s="10">
        <f t="shared" si="11"/>
        <v>1975.014033070973</v>
      </c>
    </row>
    <row r="60" spans="1:61" ht="45">
      <c r="A60" s="8" t="s">
        <v>370</v>
      </c>
      <c r="B60" s="129" t="s">
        <v>371</v>
      </c>
      <c r="C60" s="13"/>
      <c r="D60" s="13"/>
      <c r="E60" s="13"/>
      <c r="F60" s="13"/>
      <c r="G60" s="13"/>
      <c r="H60" s="13"/>
      <c r="I60" s="13"/>
      <c r="J60" s="13"/>
      <c r="K60" s="13"/>
      <c r="L60" s="13"/>
      <c r="M60" s="13"/>
      <c r="N60" s="13"/>
      <c r="O60" s="13"/>
      <c r="P60" s="13"/>
      <c r="Q60" s="93"/>
      <c r="R60" s="93"/>
      <c r="S60" s="204">
        <f>$Z$17*$Q$34*$Q$38/100*$S$46</f>
        <v>1119.1196423443419</v>
      </c>
      <c r="T60" s="207">
        <f t="shared" si="9"/>
        <v>1171.7835668899154</v>
      </c>
      <c r="U60" s="10">
        <f t="shared" si="9"/>
        <v>1198.2553812817707</v>
      </c>
      <c r="V60" s="10">
        <f t="shared" si="9"/>
        <v>1296.6978107989598</v>
      </c>
      <c r="W60" s="10">
        <f t="shared" si="9"/>
        <v>1322.6263343677624</v>
      </c>
      <c r="X60" s="10">
        <f t="shared" si="9"/>
        <v>1345.2072267205174</v>
      </c>
      <c r="Y60" s="10">
        <f t="shared" si="9"/>
        <v>1366.9466585557789</v>
      </c>
      <c r="Z60" s="10">
        <f t="shared" si="9"/>
        <v>1389.8492018380155</v>
      </c>
      <c r="AA60" s="10">
        <f t="shared" si="9"/>
        <v>1412.5686366486359</v>
      </c>
      <c r="AB60" s="10">
        <f t="shared" si="9"/>
        <v>1435.7922015656395</v>
      </c>
      <c r="AC60" s="10">
        <f t="shared" si="9"/>
        <v>1458.8115709199865</v>
      </c>
      <c r="AD60" s="10">
        <f t="shared" si="9"/>
        <v>1481.6012012454687</v>
      </c>
      <c r="AE60" s="10">
        <f t="shared" si="9"/>
        <v>1504.1342777793061</v>
      </c>
      <c r="AF60" s="10">
        <f t="shared" si="9"/>
        <v>1527.1589827315527</v>
      </c>
      <c r="AG60" s="10">
        <f t="shared" si="9"/>
        <v>1549.9118205257898</v>
      </c>
      <c r="AH60" s="10">
        <f t="shared" si="9"/>
        <v>1573.1372342505208</v>
      </c>
      <c r="AI60" s="10">
        <f t="shared" si="9"/>
        <v>1596.0442662230764</v>
      </c>
      <c r="AJ60" s="10">
        <f t="shared" ref="AJ60:BI60" si="12">AI60*AJ$46</f>
        <v>1618.5928305956036</v>
      </c>
      <c r="AK60" s="10">
        <f t="shared" si="12"/>
        <v>1640.757217998977</v>
      </c>
      <c r="AL60" s="10">
        <f t="shared" si="12"/>
        <v>1662.4992292212303</v>
      </c>
      <c r="AM60" s="10">
        <f t="shared" si="12"/>
        <v>1683.7808133798783</v>
      </c>
      <c r="AN60" s="10">
        <f t="shared" si="12"/>
        <v>1704.5627493663681</v>
      </c>
      <c r="AO60" s="10">
        <f t="shared" si="12"/>
        <v>1725.6692150442093</v>
      </c>
      <c r="AP60" s="10">
        <f t="shared" si="12"/>
        <v>1745.3565607620515</v>
      </c>
      <c r="AQ60" s="10">
        <f t="shared" si="12"/>
        <v>1765.3219714427994</v>
      </c>
      <c r="AR60" s="10">
        <f t="shared" si="12"/>
        <v>1785.5613856483196</v>
      </c>
      <c r="AS60" s="10">
        <f t="shared" si="12"/>
        <v>1805.1823275782995</v>
      </c>
      <c r="AT60" s="10">
        <f t="shared" si="12"/>
        <v>1824.154931321654</v>
      </c>
      <c r="AU60" s="10">
        <f t="shared" si="12"/>
        <v>1842.4500940924174</v>
      </c>
      <c r="AV60" s="10">
        <f t="shared" si="12"/>
        <v>1860.9693184476787</v>
      </c>
      <c r="AW60" s="10">
        <f t="shared" si="12"/>
        <v>1879.7060124523557</v>
      </c>
      <c r="AX60" s="10">
        <f t="shared" si="12"/>
        <v>1898.6600930364564</v>
      </c>
      <c r="AY60" s="10">
        <f t="shared" si="12"/>
        <v>1916.8717919063006</v>
      </c>
      <c r="AZ60" s="10">
        <f t="shared" si="12"/>
        <v>1935.0983184406721</v>
      </c>
      <c r="BA60" s="10">
        <f t="shared" si="12"/>
        <v>1953.4981514376411</v>
      </c>
      <c r="BB60" s="10">
        <f t="shared" si="12"/>
        <v>1972.0729387772863</v>
      </c>
      <c r="BC60" s="10">
        <f t="shared" si="12"/>
        <v>1990.8243440085118</v>
      </c>
      <c r="BD60" s="10">
        <f t="shared" si="12"/>
        <v>2009.7540464980343</v>
      </c>
      <c r="BE60" s="10">
        <f t="shared" si="12"/>
        <v>2029.8735904154328</v>
      </c>
      <c r="BF60" s="10">
        <f t="shared" si="12"/>
        <v>2050.1945500474303</v>
      </c>
      <c r="BG60" s="10">
        <f t="shared" si="12"/>
        <v>2070.7189417563391</v>
      </c>
      <c r="BH60" s="10">
        <f t="shared" si="12"/>
        <v>2092.4892841898863</v>
      </c>
      <c r="BI60" s="10">
        <f t="shared" si="12"/>
        <v>2114.4885074242593</v>
      </c>
    </row>
    <row r="61" spans="1:61"/>
    <row r="62" spans="1:61">
      <c r="A62" s="720" t="s">
        <v>594</v>
      </c>
      <c r="B62" s="720"/>
      <c r="C62" s="720"/>
      <c r="D62" s="720"/>
      <c r="E62" s="720"/>
      <c r="F62" s="720"/>
      <c r="G62" s="720"/>
      <c r="H62" s="720"/>
      <c r="I62" s="720"/>
      <c r="J62" s="720"/>
      <c r="K62" s="720"/>
      <c r="L62" s="720"/>
      <c r="M62" s="720"/>
      <c r="N62" s="720"/>
      <c r="O62" s="720"/>
      <c r="P62" s="720"/>
      <c r="Q62" s="720"/>
      <c r="R62" s="720"/>
      <c r="S62" s="720"/>
      <c r="T62" s="720"/>
      <c r="U62" s="720"/>
      <c r="V62" s="720"/>
    </row>
    <row r="63" spans="1:61" s="613" customFormat="1">
      <c r="A63" s="720"/>
      <c r="B63" s="720"/>
      <c r="C63" s="720"/>
      <c r="D63" s="720"/>
      <c r="E63" s="720"/>
      <c r="F63" s="720"/>
      <c r="G63" s="720"/>
      <c r="H63" s="720"/>
      <c r="I63" s="720"/>
      <c r="J63" s="720"/>
      <c r="K63" s="720"/>
      <c r="L63" s="720"/>
      <c r="M63" s="720"/>
      <c r="N63" s="720"/>
      <c r="O63" s="720"/>
      <c r="P63" s="720"/>
      <c r="Q63" s="720"/>
      <c r="R63" s="720"/>
      <c r="S63" s="720"/>
      <c r="T63" s="720"/>
      <c r="U63" s="720"/>
      <c r="V63" s="720"/>
    </row>
    <row r="64" spans="1:61">
      <c r="A64" s="541" t="s">
        <v>372</v>
      </c>
    </row>
    <row r="65" spans="1:61">
      <c r="A65" s="718"/>
      <c r="B65" s="685" t="s">
        <v>328</v>
      </c>
      <c r="C65" s="671"/>
      <c r="D65" s="671"/>
      <c r="E65" s="671"/>
      <c r="F65" s="671"/>
      <c r="G65" s="671"/>
      <c r="H65" s="671"/>
      <c r="I65" s="671"/>
      <c r="J65" s="671"/>
      <c r="K65" s="671"/>
      <c r="L65" s="671"/>
      <c r="M65" s="671"/>
      <c r="N65" s="671"/>
      <c r="O65" s="671"/>
      <c r="P65" s="674"/>
      <c r="Q65" s="6"/>
      <c r="R65" s="6"/>
      <c r="S65" s="6"/>
      <c r="T65" s="6">
        <v>2020</v>
      </c>
      <c r="U65" s="6">
        <f>T65+1</f>
        <v>2021</v>
      </c>
      <c r="V65" s="6">
        <f t="shared" ref="V65" si="13">U65+1</f>
        <v>2022</v>
      </c>
      <c r="W65" s="6">
        <f t="shared" ref="W65" si="14">V65+1</f>
        <v>2023</v>
      </c>
      <c r="X65" s="6">
        <f t="shared" ref="X65" si="15">W65+1</f>
        <v>2024</v>
      </c>
      <c r="Y65" s="6">
        <f t="shared" ref="Y65" si="16">X65+1</f>
        <v>2025</v>
      </c>
      <c r="Z65" s="6">
        <f t="shared" ref="Z65" si="17">Y65+1</f>
        <v>2026</v>
      </c>
      <c r="AA65" s="6">
        <f t="shared" ref="AA65" si="18">Z65+1</f>
        <v>2027</v>
      </c>
      <c r="AB65" s="6">
        <f t="shared" ref="AB65" si="19">AA65+1</f>
        <v>2028</v>
      </c>
      <c r="AC65" s="6">
        <f t="shared" ref="AC65" si="20">AB65+1</f>
        <v>2029</v>
      </c>
      <c r="AD65" s="6">
        <f t="shared" ref="AD65" si="21">AC65+1</f>
        <v>2030</v>
      </c>
      <c r="AE65" s="6">
        <f t="shared" ref="AE65" si="22">AD65+1</f>
        <v>2031</v>
      </c>
      <c r="AF65" s="6">
        <f t="shared" ref="AF65" si="23">AE65+1</f>
        <v>2032</v>
      </c>
      <c r="AG65" s="6">
        <f t="shared" ref="AG65" si="24">AF65+1</f>
        <v>2033</v>
      </c>
      <c r="AH65" s="6">
        <f t="shared" ref="AH65" si="25">AG65+1</f>
        <v>2034</v>
      </c>
      <c r="AI65" s="6">
        <f t="shared" ref="AI65" si="26">AH65+1</f>
        <v>2035</v>
      </c>
      <c r="AJ65" s="6">
        <f t="shared" ref="AJ65" si="27">AI65+1</f>
        <v>2036</v>
      </c>
      <c r="AK65" s="6">
        <f t="shared" ref="AK65" si="28">AJ65+1</f>
        <v>2037</v>
      </c>
      <c r="AL65" s="6">
        <f t="shared" ref="AL65" si="29">AK65+1</f>
        <v>2038</v>
      </c>
      <c r="AM65" s="6">
        <f t="shared" ref="AM65" si="30">AL65+1</f>
        <v>2039</v>
      </c>
      <c r="AN65" s="6">
        <f t="shared" ref="AN65" si="31">AM65+1</f>
        <v>2040</v>
      </c>
      <c r="AO65" s="6">
        <f t="shared" ref="AO65" si="32">AN65+1</f>
        <v>2041</v>
      </c>
      <c r="AP65" s="6">
        <f t="shared" ref="AP65" si="33">AO65+1</f>
        <v>2042</v>
      </c>
      <c r="AQ65" s="6">
        <f t="shared" ref="AQ65" si="34">AP65+1</f>
        <v>2043</v>
      </c>
      <c r="AR65" s="6">
        <f t="shared" ref="AR65" si="35">AQ65+1</f>
        <v>2044</v>
      </c>
      <c r="AS65" s="6">
        <f t="shared" ref="AS65" si="36">AR65+1</f>
        <v>2045</v>
      </c>
      <c r="AT65" s="6">
        <f t="shared" ref="AT65" si="37">AS65+1</f>
        <v>2046</v>
      </c>
      <c r="AU65" s="6">
        <f t="shared" ref="AU65" si="38">AT65+1</f>
        <v>2047</v>
      </c>
      <c r="AV65" s="6">
        <f t="shared" ref="AV65" si="39">AU65+1</f>
        <v>2048</v>
      </c>
      <c r="AW65" s="6">
        <f t="shared" ref="AW65" si="40">AV65+1</f>
        <v>2049</v>
      </c>
      <c r="AX65" s="6">
        <f t="shared" ref="AX65" si="41">AW65+1</f>
        <v>2050</v>
      </c>
      <c r="AY65" s="6">
        <f t="shared" ref="AY65" si="42">AX65+1</f>
        <v>2051</v>
      </c>
      <c r="AZ65" s="6">
        <f t="shared" ref="AZ65" si="43">AY65+1</f>
        <v>2052</v>
      </c>
      <c r="BA65" s="6">
        <f t="shared" ref="BA65" si="44">AZ65+1</f>
        <v>2053</v>
      </c>
      <c r="BB65" s="6">
        <f t="shared" ref="BB65" si="45">BA65+1</f>
        <v>2054</v>
      </c>
      <c r="BC65" s="6">
        <f t="shared" ref="BC65" si="46">BB65+1</f>
        <v>2055</v>
      </c>
      <c r="BD65" s="6">
        <f t="shared" ref="BD65" si="47">BC65+1</f>
        <v>2056</v>
      </c>
      <c r="BE65" s="6">
        <f t="shared" ref="BE65" si="48">BD65+1</f>
        <v>2057</v>
      </c>
      <c r="BF65" s="6">
        <f t="shared" ref="BF65" si="49">BE65+1</f>
        <v>2058</v>
      </c>
      <c r="BG65" s="6">
        <f t="shared" ref="BG65" si="50">BF65+1</f>
        <v>2059</v>
      </c>
      <c r="BH65" s="6">
        <f t="shared" ref="BH65" si="51">BG65+1</f>
        <v>2060</v>
      </c>
      <c r="BI65" s="6">
        <f t="shared" ref="BI65" si="52">BH65+1</f>
        <v>2061</v>
      </c>
    </row>
    <row r="66" spans="1:61">
      <c r="A66" s="719"/>
      <c r="B66" s="686" t="s">
        <v>530</v>
      </c>
      <c r="C66" s="681"/>
      <c r="D66" s="681"/>
      <c r="E66" s="681"/>
      <c r="F66" s="681"/>
      <c r="G66" s="681"/>
      <c r="H66" s="681"/>
      <c r="I66" s="681"/>
      <c r="J66" s="681"/>
      <c r="K66" s="681"/>
      <c r="L66" s="681"/>
      <c r="M66" s="681"/>
      <c r="N66" s="681"/>
      <c r="O66" s="681"/>
      <c r="P66" s="687"/>
      <c r="Q66" s="683">
        <f>DATE(2016,12,31)</f>
        <v>42735</v>
      </c>
      <c r="R66" s="683">
        <f>DATE(YEAR(Q66+1),12,31)</f>
        <v>43100</v>
      </c>
      <c r="S66" s="683">
        <f t="shared" ref="S66" si="53">DATE(YEAR(R66+1),12,31)</f>
        <v>43465</v>
      </c>
      <c r="T66" s="683">
        <f>DATE(YEAR(S66+1),12,31)</f>
        <v>43830</v>
      </c>
      <c r="U66" s="683">
        <f t="shared" ref="U66:BI66" si="54">DATE(YEAR(T66+1),12,31)</f>
        <v>44196</v>
      </c>
      <c r="V66" s="683">
        <f t="shared" si="54"/>
        <v>44561</v>
      </c>
      <c r="W66" s="683">
        <f t="shared" si="54"/>
        <v>44926</v>
      </c>
      <c r="X66" s="683">
        <f t="shared" si="54"/>
        <v>45291</v>
      </c>
      <c r="Y66" s="683">
        <f t="shared" si="54"/>
        <v>45657</v>
      </c>
      <c r="Z66" s="683">
        <f t="shared" si="54"/>
        <v>46022</v>
      </c>
      <c r="AA66" s="683">
        <f t="shared" si="54"/>
        <v>46387</v>
      </c>
      <c r="AB66" s="683">
        <f t="shared" si="54"/>
        <v>46752</v>
      </c>
      <c r="AC66" s="683">
        <f t="shared" si="54"/>
        <v>47118</v>
      </c>
      <c r="AD66" s="683">
        <f t="shared" si="54"/>
        <v>47483</v>
      </c>
      <c r="AE66" s="683">
        <f t="shared" si="54"/>
        <v>47848</v>
      </c>
      <c r="AF66" s="683">
        <f t="shared" si="54"/>
        <v>48213</v>
      </c>
      <c r="AG66" s="683">
        <f t="shared" si="54"/>
        <v>48579</v>
      </c>
      <c r="AH66" s="683">
        <f t="shared" si="54"/>
        <v>48944</v>
      </c>
      <c r="AI66" s="683">
        <f t="shared" si="54"/>
        <v>49309</v>
      </c>
      <c r="AJ66" s="683">
        <f t="shared" si="54"/>
        <v>49674</v>
      </c>
      <c r="AK66" s="683">
        <f t="shared" si="54"/>
        <v>50040</v>
      </c>
      <c r="AL66" s="683">
        <f t="shared" si="54"/>
        <v>50405</v>
      </c>
      <c r="AM66" s="683">
        <f t="shared" si="54"/>
        <v>50770</v>
      </c>
      <c r="AN66" s="683">
        <f t="shared" si="54"/>
        <v>51135</v>
      </c>
      <c r="AO66" s="683">
        <f t="shared" si="54"/>
        <v>51501</v>
      </c>
      <c r="AP66" s="683">
        <f t="shared" si="54"/>
        <v>51866</v>
      </c>
      <c r="AQ66" s="683">
        <f t="shared" si="54"/>
        <v>52231</v>
      </c>
      <c r="AR66" s="683">
        <f t="shared" si="54"/>
        <v>52596</v>
      </c>
      <c r="AS66" s="683">
        <f t="shared" si="54"/>
        <v>52962</v>
      </c>
      <c r="AT66" s="683">
        <f t="shared" si="54"/>
        <v>53327</v>
      </c>
      <c r="AU66" s="683">
        <f t="shared" si="54"/>
        <v>53692</v>
      </c>
      <c r="AV66" s="683">
        <f t="shared" si="54"/>
        <v>54057</v>
      </c>
      <c r="AW66" s="683">
        <f t="shared" si="54"/>
        <v>54423</v>
      </c>
      <c r="AX66" s="683">
        <f t="shared" si="54"/>
        <v>54788</v>
      </c>
      <c r="AY66" s="683">
        <f t="shared" si="54"/>
        <v>55153</v>
      </c>
      <c r="AZ66" s="683">
        <f t="shared" si="54"/>
        <v>55518</v>
      </c>
      <c r="BA66" s="683">
        <f t="shared" si="54"/>
        <v>55884</v>
      </c>
      <c r="BB66" s="683">
        <f t="shared" si="54"/>
        <v>56249</v>
      </c>
      <c r="BC66" s="683">
        <f t="shared" si="54"/>
        <v>56614</v>
      </c>
      <c r="BD66" s="683">
        <f t="shared" si="54"/>
        <v>56979</v>
      </c>
      <c r="BE66" s="683">
        <f t="shared" si="54"/>
        <v>57345</v>
      </c>
      <c r="BF66" s="683">
        <f t="shared" si="54"/>
        <v>57710</v>
      </c>
      <c r="BG66" s="683">
        <f t="shared" si="54"/>
        <v>58075</v>
      </c>
      <c r="BH66" s="683">
        <f t="shared" si="54"/>
        <v>58440</v>
      </c>
      <c r="BI66" s="683">
        <f t="shared" si="54"/>
        <v>58806</v>
      </c>
    </row>
    <row r="67" spans="1:61">
      <c r="A67" s="8" t="s">
        <v>373</v>
      </c>
      <c r="B67" s="129" t="s">
        <v>360</v>
      </c>
      <c r="C67" s="13"/>
      <c r="D67" s="13"/>
      <c r="E67" s="13"/>
      <c r="F67" s="13"/>
      <c r="G67" s="13"/>
      <c r="H67" s="13"/>
      <c r="I67" s="13"/>
      <c r="J67" s="13"/>
      <c r="K67" s="13"/>
      <c r="L67" s="13"/>
      <c r="M67" s="13"/>
      <c r="N67" s="13"/>
      <c r="O67" s="13"/>
      <c r="P67" s="13"/>
      <c r="Q67" s="93"/>
      <c r="R67" s="93"/>
      <c r="S67" s="204">
        <f>$P$28*$Q$34*$Q$38/100*$S$46</f>
        <v>0</v>
      </c>
      <c r="T67" s="207">
        <f>S67*T$46</f>
        <v>0</v>
      </c>
      <c r="U67" s="10">
        <f t="shared" ref="U67:BI67" si="55">T67*U$46</f>
        <v>0</v>
      </c>
      <c r="V67" s="10">
        <f t="shared" si="55"/>
        <v>0</v>
      </c>
      <c r="W67" s="10">
        <f t="shared" si="55"/>
        <v>0</v>
      </c>
      <c r="X67" s="10">
        <f t="shared" si="55"/>
        <v>0</v>
      </c>
      <c r="Y67" s="10">
        <f t="shared" si="55"/>
        <v>0</v>
      </c>
      <c r="Z67" s="10">
        <f t="shared" si="55"/>
        <v>0</v>
      </c>
      <c r="AA67" s="10">
        <f t="shared" si="55"/>
        <v>0</v>
      </c>
      <c r="AB67" s="10">
        <f t="shared" si="55"/>
        <v>0</v>
      </c>
      <c r="AC67" s="10">
        <f t="shared" si="55"/>
        <v>0</v>
      </c>
      <c r="AD67" s="10">
        <f t="shared" si="55"/>
        <v>0</v>
      </c>
      <c r="AE67" s="10">
        <f t="shared" si="55"/>
        <v>0</v>
      </c>
      <c r="AF67" s="10">
        <f t="shared" si="55"/>
        <v>0</v>
      </c>
      <c r="AG67" s="10">
        <f t="shared" si="55"/>
        <v>0</v>
      </c>
      <c r="AH67" s="10">
        <f t="shared" si="55"/>
        <v>0</v>
      </c>
      <c r="AI67" s="10">
        <f t="shared" si="55"/>
        <v>0</v>
      </c>
      <c r="AJ67" s="10">
        <f t="shared" si="55"/>
        <v>0</v>
      </c>
      <c r="AK67" s="10">
        <f t="shared" si="55"/>
        <v>0</v>
      </c>
      <c r="AL67" s="10">
        <f t="shared" si="55"/>
        <v>0</v>
      </c>
      <c r="AM67" s="10">
        <f t="shared" si="55"/>
        <v>0</v>
      </c>
      <c r="AN67" s="10">
        <f t="shared" si="55"/>
        <v>0</v>
      </c>
      <c r="AO67" s="10">
        <f t="shared" si="55"/>
        <v>0</v>
      </c>
      <c r="AP67" s="10">
        <f t="shared" si="55"/>
        <v>0</v>
      </c>
      <c r="AQ67" s="10">
        <f t="shared" si="55"/>
        <v>0</v>
      </c>
      <c r="AR67" s="10">
        <f t="shared" si="55"/>
        <v>0</v>
      </c>
      <c r="AS67" s="10">
        <f t="shared" si="55"/>
        <v>0</v>
      </c>
      <c r="AT67" s="10">
        <f t="shared" si="55"/>
        <v>0</v>
      </c>
      <c r="AU67" s="10">
        <f t="shared" si="55"/>
        <v>0</v>
      </c>
      <c r="AV67" s="10">
        <f t="shared" si="55"/>
        <v>0</v>
      </c>
      <c r="AW67" s="10">
        <f t="shared" si="55"/>
        <v>0</v>
      </c>
      <c r="AX67" s="10">
        <f t="shared" si="55"/>
        <v>0</v>
      </c>
      <c r="AY67" s="10">
        <f t="shared" si="55"/>
        <v>0</v>
      </c>
      <c r="AZ67" s="10">
        <f t="shared" si="55"/>
        <v>0</v>
      </c>
      <c r="BA67" s="10">
        <f t="shared" si="55"/>
        <v>0</v>
      </c>
      <c r="BB67" s="10">
        <f t="shared" si="55"/>
        <v>0</v>
      </c>
      <c r="BC67" s="10">
        <f t="shared" si="55"/>
        <v>0</v>
      </c>
      <c r="BD67" s="10">
        <f t="shared" si="55"/>
        <v>0</v>
      </c>
      <c r="BE67" s="10">
        <f t="shared" si="55"/>
        <v>0</v>
      </c>
      <c r="BF67" s="10">
        <f t="shared" si="55"/>
        <v>0</v>
      </c>
      <c r="BG67" s="10">
        <f t="shared" si="55"/>
        <v>0</v>
      </c>
      <c r="BH67" s="10">
        <f t="shared" si="55"/>
        <v>0</v>
      </c>
      <c r="BI67" s="10">
        <f t="shared" si="55"/>
        <v>0</v>
      </c>
    </row>
    <row r="68" spans="1:61">
      <c r="A68" s="8" t="s">
        <v>374</v>
      </c>
      <c r="B68" s="129" t="s">
        <v>360</v>
      </c>
      <c r="C68" s="13"/>
      <c r="D68" s="13"/>
      <c r="E68" s="13"/>
      <c r="F68" s="13"/>
      <c r="G68" s="13"/>
      <c r="H68" s="13"/>
      <c r="I68" s="13"/>
      <c r="J68" s="13"/>
      <c r="K68" s="13"/>
      <c r="L68" s="13"/>
      <c r="M68" s="13"/>
      <c r="N68" s="13"/>
      <c r="O68" s="13"/>
      <c r="P68" s="13"/>
      <c r="Q68" s="93"/>
      <c r="R68" s="93"/>
      <c r="S68" s="204">
        <f>$T$28*$Q$34*$Q$38/100*$S$46</f>
        <v>0.63829329968878223</v>
      </c>
      <c r="T68" s="207">
        <f t="shared" ref="T68:BI68" si="56">S68*T$46</f>
        <v>0.66833032960127503</v>
      </c>
      <c r="U68" s="10">
        <f t="shared" si="56"/>
        <v>0.68342860963997654</v>
      </c>
      <c r="V68" s="10">
        <f t="shared" si="56"/>
        <v>0.73957554942049852</v>
      </c>
      <c r="W68" s="10">
        <f t="shared" si="56"/>
        <v>0.7543639618820297</v>
      </c>
      <c r="X68" s="10">
        <f t="shared" si="56"/>
        <v>0.76724304267411036</v>
      </c>
      <c r="Y68" s="10">
        <f t="shared" si="56"/>
        <v>0.77964219389481504</v>
      </c>
      <c r="Z68" s="10">
        <f t="shared" si="56"/>
        <v>0.79270472927509028</v>
      </c>
      <c r="AA68" s="10">
        <f t="shared" si="56"/>
        <v>0.80566282818036627</v>
      </c>
      <c r="AB68" s="10">
        <f t="shared" si="56"/>
        <v>0.81890845922867728</v>
      </c>
      <c r="AC68" s="10">
        <f t="shared" si="56"/>
        <v>0.83203762671532933</v>
      </c>
      <c r="AD68" s="10">
        <f t="shared" si="56"/>
        <v>0.84503576184650031</v>
      </c>
      <c r="AE68" s="10">
        <f t="shared" si="56"/>
        <v>0.85788757074049304</v>
      </c>
      <c r="AF68" s="10">
        <f t="shared" si="56"/>
        <v>0.87101978140167291</v>
      </c>
      <c r="AG68" s="10">
        <f t="shared" si="56"/>
        <v>0.88399693180048489</v>
      </c>
      <c r="AH68" s="10">
        <f t="shared" si="56"/>
        <v>0.89724361732191937</v>
      </c>
      <c r="AI68" s="10">
        <f t="shared" si="56"/>
        <v>0.91030871284040205</v>
      </c>
      <c r="AJ68" s="10">
        <f t="shared" si="56"/>
        <v>0.92316935527040667</v>
      </c>
      <c r="AK68" s="10">
        <f t="shared" si="56"/>
        <v>0.93581088119487676</v>
      </c>
      <c r="AL68" s="10">
        <f t="shared" si="56"/>
        <v>0.94821150357681561</v>
      </c>
      <c r="AM68" s="10">
        <f t="shared" si="56"/>
        <v>0.9603495199793981</v>
      </c>
      <c r="AN68" s="10">
        <f t="shared" si="56"/>
        <v>0.97220256052379428</v>
      </c>
      <c r="AO68" s="10">
        <f t="shared" si="56"/>
        <v>0.98424069756699351</v>
      </c>
      <c r="AP68" s="10">
        <f t="shared" si="56"/>
        <v>0.9954694352147675</v>
      </c>
      <c r="AQ68" s="10">
        <f t="shared" si="56"/>
        <v>1.0068567680618261</v>
      </c>
      <c r="AR68" s="10">
        <f t="shared" si="56"/>
        <v>1.0184003796545487</v>
      </c>
      <c r="AS68" s="10">
        <f t="shared" si="56"/>
        <v>1.029591243699481</v>
      </c>
      <c r="AT68" s="10">
        <f t="shared" si="56"/>
        <v>1.0404123260831886</v>
      </c>
      <c r="AU68" s="10">
        <f t="shared" si="56"/>
        <v>1.0508470279429749</v>
      </c>
      <c r="AV68" s="10">
        <f t="shared" si="56"/>
        <v>1.0614095240105397</v>
      </c>
      <c r="AW68" s="10">
        <f t="shared" si="56"/>
        <v>1.0720960545556131</v>
      </c>
      <c r="AX68" s="10">
        <f t="shared" si="56"/>
        <v>1.0829065721989717</v>
      </c>
      <c r="AY68" s="10">
        <f t="shared" si="56"/>
        <v>1.0932936701684259</v>
      </c>
      <c r="AZ68" s="10">
        <f t="shared" si="56"/>
        <v>1.1036892251415462</v>
      </c>
      <c r="BA68" s="10">
        <f t="shared" si="56"/>
        <v>1.1141836259839399</v>
      </c>
      <c r="BB68" s="10">
        <f t="shared" si="56"/>
        <v>1.1247778125690338</v>
      </c>
      <c r="BC68" s="10">
        <f t="shared" si="56"/>
        <v>1.1354727337070167</v>
      </c>
      <c r="BD68" s="10">
        <f t="shared" si="56"/>
        <v>1.1462693472298151</v>
      </c>
      <c r="BE68" s="10">
        <f t="shared" si="56"/>
        <v>1.1577445904382784</v>
      </c>
      <c r="BF68" s="10">
        <f t="shared" si="56"/>
        <v>1.1693347117135866</v>
      </c>
      <c r="BG68" s="10">
        <f t="shared" si="56"/>
        <v>1.1810408610941312</v>
      </c>
      <c r="BH68" s="10">
        <f t="shared" si="56"/>
        <v>1.1934576422688004</v>
      </c>
      <c r="BI68" s="10">
        <f t="shared" si="56"/>
        <v>1.206004966305972</v>
      </c>
    </row>
    <row r="69" spans="1:61">
      <c r="A69" s="8" t="s">
        <v>375</v>
      </c>
      <c r="B69" s="129" t="s">
        <v>360</v>
      </c>
      <c r="C69" s="13"/>
      <c r="D69" s="13"/>
      <c r="E69" s="13"/>
      <c r="F69" s="13"/>
      <c r="G69" s="13"/>
      <c r="H69" s="13"/>
      <c r="I69" s="13"/>
      <c r="J69" s="13"/>
      <c r="K69" s="13"/>
      <c r="L69" s="13"/>
      <c r="M69" s="13"/>
      <c r="N69" s="13"/>
      <c r="O69" s="13"/>
      <c r="P69" s="13"/>
      <c r="Q69" s="93"/>
      <c r="R69" s="93"/>
      <c r="S69" s="204">
        <f>$X$28*$Q$34*$Q$38/100*$S$46</f>
        <v>1.9148798990663465</v>
      </c>
      <c r="T69" s="207">
        <f t="shared" ref="T69:BI69" si="57">S69*T$46</f>
        <v>2.0049909888038249</v>
      </c>
      <c r="U69" s="10">
        <f t="shared" si="57"/>
        <v>2.0502858289199293</v>
      </c>
      <c r="V69" s="10">
        <f t="shared" si="57"/>
        <v>2.2187266482614953</v>
      </c>
      <c r="W69" s="10">
        <f t="shared" si="57"/>
        <v>2.2630918856460891</v>
      </c>
      <c r="X69" s="10">
        <f t="shared" si="57"/>
        <v>2.3017291280223309</v>
      </c>
      <c r="Y69" s="10">
        <f t="shared" si="57"/>
        <v>2.3389265816844449</v>
      </c>
      <c r="Z69" s="10">
        <f t="shared" si="57"/>
        <v>2.3781141878252705</v>
      </c>
      <c r="AA69" s="10">
        <f t="shared" si="57"/>
        <v>2.4169884845410987</v>
      </c>
      <c r="AB69" s="10">
        <f t="shared" si="57"/>
        <v>2.4567253776860318</v>
      </c>
      <c r="AC69" s="10">
        <f t="shared" si="57"/>
        <v>2.4961128801459878</v>
      </c>
      <c r="AD69" s="10">
        <f t="shared" si="57"/>
        <v>2.5351072855395009</v>
      </c>
      <c r="AE69" s="10">
        <f t="shared" si="57"/>
        <v>2.5736627122214792</v>
      </c>
      <c r="AF69" s="10">
        <f t="shared" si="57"/>
        <v>2.613059344205019</v>
      </c>
      <c r="AG69" s="10">
        <f t="shared" si="57"/>
        <v>2.651990795401455</v>
      </c>
      <c r="AH69" s="10">
        <f t="shared" si="57"/>
        <v>2.6917308519657586</v>
      </c>
      <c r="AI69" s="10">
        <f t="shared" si="57"/>
        <v>2.7309261385212067</v>
      </c>
      <c r="AJ69" s="10">
        <f t="shared" si="57"/>
        <v>2.7695080658112206</v>
      </c>
      <c r="AK69" s="10">
        <f t="shared" si="57"/>
        <v>2.8074326435846308</v>
      </c>
      <c r="AL69" s="10">
        <f t="shared" si="57"/>
        <v>2.8446345107304474</v>
      </c>
      <c r="AM69" s="10">
        <f t="shared" si="57"/>
        <v>2.8810485599381948</v>
      </c>
      <c r="AN69" s="10">
        <f t="shared" si="57"/>
        <v>2.9166076815713833</v>
      </c>
      <c r="AO69" s="10">
        <f t="shared" si="57"/>
        <v>2.9527220927009807</v>
      </c>
      <c r="AP69" s="10">
        <f t="shared" si="57"/>
        <v>2.9864083056443027</v>
      </c>
      <c r="AQ69" s="10">
        <f t="shared" si="57"/>
        <v>3.0205703041854788</v>
      </c>
      <c r="AR69" s="10">
        <f t="shared" si="57"/>
        <v>3.0552011389636462</v>
      </c>
      <c r="AS69" s="10">
        <f t="shared" si="57"/>
        <v>3.0887737310984433</v>
      </c>
      <c r="AT69" s="10">
        <f t="shared" si="57"/>
        <v>3.1212369782495659</v>
      </c>
      <c r="AU69" s="10">
        <f t="shared" si="57"/>
        <v>3.152541083828925</v>
      </c>
      <c r="AV69" s="10">
        <f t="shared" si="57"/>
        <v>3.184228572031619</v>
      </c>
      <c r="AW69" s="10">
        <f t="shared" si="57"/>
        <v>3.2162881636668388</v>
      </c>
      <c r="AX69" s="10">
        <f t="shared" si="57"/>
        <v>3.2487197165969146</v>
      </c>
      <c r="AY69" s="10">
        <f t="shared" si="57"/>
        <v>3.2798810105052776</v>
      </c>
      <c r="AZ69" s="10">
        <f t="shared" si="57"/>
        <v>3.311067675424638</v>
      </c>
      <c r="BA69" s="10">
        <f t="shared" si="57"/>
        <v>3.3425508779518194</v>
      </c>
      <c r="BB69" s="10">
        <f t="shared" si="57"/>
        <v>3.3743334377071013</v>
      </c>
      <c r="BC69" s="10">
        <f t="shared" si="57"/>
        <v>3.40641820112105</v>
      </c>
      <c r="BD69" s="10">
        <f t="shared" si="57"/>
        <v>3.4388080416894451</v>
      </c>
      <c r="BE69" s="10">
        <f t="shared" si="57"/>
        <v>3.4732337713148347</v>
      </c>
      <c r="BF69" s="10">
        <f t="shared" si="57"/>
        <v>3.5080041351407591</v>
      </c>
      <c r="BG69" s="10">
        <f t="shared" si="57"/>
        <v>3.5431225832823929</v>
      </c>
      <c r="BH69" s="10">
        <f t="shared" si="57"/>
        <v>3.5803729268064002</v>
      </c>
      <c r="BI69" s="10">
        <f t="shared" si="57"/>
        <v>3.6180148989179148</v>
      </c>
    </row>
    <row r="70" spans="1:61">
      <c r="A70" s="740" t="s">
        <v>595</v>
      </c>
      <c r="B70" s="740"/>
      <c r="C70" s="740"/>
      <c r="D70" s="740"/>
      <c r="E70" s="740"/>
      <c r="F70" s="740"/>
      <c r="G70" s="740"/>
      <c r="H70" s="740"/>
      <c r="I70" s="740"/>
      <c r="J70" s="740"/>
      <c r="K70" s="740"/>
      <c r="L70" s="740"/>
      <c r="M70" s="740"/>
      <c r="N70" s="740"/>
      <c r="O70" s="740"/>
      <c r="P70" s="740"/>
      <c r="Q70" s="740"/>
      <c r="R70" s="740"/>
      <c r="S70" s="740"/>
      <c r="T70" s="740"/>
      <c r="U70" s="740"/>
      <c r="V70" s="740"/>
    </row>
    <row r="71" spans="1:61" s="694" customFormat="1">
      <c r="A71" s="741"/>
      <c r="B71" s="741"/>
      <c r="C71" s="741"/>
      <c r="D71" s="741"/>
      <c r="E71" s="741"/>
      <c r="F71" s="741"/>
      <c r="G71" s="741"/>
      <c r="H71" s="741"/>
      <c r="I71" s="741"/>
      <c r="J71" s="741"/>
      <c r="K71" s="741"/>
      <c r="L71" s="741"/>
      <c r="M71" s="741"/>
      <c r="N71" s="741"/>
      <c r="O71" s="741"/>
      <c r="P71" s="741"/>
      <c r="Q71" s="741"/>
      <c r="R71" s="741"/>
      <c r="S71" s="741"/>
      <c r="T71" s="741"/>
      <c r="U71" s="741"/>
      <c r="V71" s="741"/>
    </row>
    <row r="72" spans="1:61"/>
    <row r="73" spans="1:61" hidden="1"/>
  </sheetData>
  <mergeCells count="70">
    <mergeCell ref="A70:V71"/>
    <mergeCell ref="A29:AA30"/>
    <mergeCell ref="A50:V51"/>
    <mergeCell ref="A62:V63"/>
    <mergeCell ref="X17:Y17"/>
    <mergeCell ref="Z17:AA17"/>
    <mergeCell ref="X26:AA26"/>
    <mergeCell ref="X27:AA27"/>
    <mergeCell ref="P28:S28"/>
    <mergeCell ref="T28:W28"/>
    <mergeCell ref="X28:AA28"/>
    <mergeCell ref="A41:V42"/>
    <mergeCell ref="A65:A66"/>
    <mergeCell ref="P27:S27"/>
    <mergeCell ref="T27:W27"/>
    <mergeCell ref="A53:A54"/>
    <mergeCell ref="X7:Y7"/>
    <mergeCell ref="X8:Y8"/>
    <mergeCell ref="X9:Y9"/>
    <mergeCell ref="X10:Y10"/>
    <mergeCell ref="Z7:AA7"/>
    <mergeCell ref="Z8:AA8"/>
    <mergeCell ref="Z9:AA9"/>
    <mergeCell ref="Z10:AA10"/>
    <mergeCell ref="T7:U7"/>
    <mergeCell ref="T8:U8"/>
    <mergeCell ref="T9:U9"/>
    <mergeCell ref="T10:U10"/>
    <mergeCell ref="V7:W7"/>
    <mergeCell ref="V8:W8"/>
    <mergeCell ref="V9:W9"/>
    <mergeCell ref="V10:W10"/>
    <mergeCell ref="P7:Q7"/>
    <mergeCell ref="P8:Q8"/>
    <mergeCell ref="P9:Q9"/>
    <mergeCell ref="P10:Q10"/>
    <mergeCell ref="R7:S7"/>
    <mergeCell ref="R8:S8"/>
    <mergeCell ref="R9:S9"/>
    <mergeCell ref="R10:S10"/>
    <mergeCell ref="P5:S5"/>
    <mergeCell ref="T5:W5"/>
    <mergeCell ref="X5:AA5"/>
    <mergeCell ref="P6:Q6"/>
    <mergeCell ref="R6:S6"/>
    <mergeCell ref="T6:U6"/>
    <mergeCell ref="V6:W6"/>
    <mergeCell ref="X6:Y6"/>
    <mergeCell ref="Z6:AA6"/>
    <mergeCell ref="X15:AA15"/>
    <mergeCell ref="X16:Y16"/>
    <mergeCell ref="Z16:AA16"/>
    <mergeCell ref="P25:S25"/>
    <mergeCell ref="P26:S26"/>
    <mergeCell ref="T25:W25"/>
    <mergeCell ref="T26:W26"/>
    <mergeCell ref="X25:AA25"/>
    <mergeCell ref="P15:S15"/>
    <mergeCell ref="P16:Q16"/>
    <mergeCell ref="R16:S16"/>
    <mergeCell ref="T15:W15"/>
    <mergeCell ref="T16:U16"/>
    <mergeCell ref="V16:W16"/>
    <mergeCell ref="V17:W17"/>
    <mergeCell ref="A25:A27"/>
    <mergeCell ref="B25:B27"/>
    <mergeCell ref="P17:Q17"/>
    <mergeCell ref="R17:S17"/>
    <mergeCell ref="T17:U17"/>
    <mergeCell ref="A19:AA20"/>
  </mergeCells>
  <hyperlinks>
    <hyperlink ref="A43" location="Indeksacja!A29" display="Nota metodologiczna"/>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9"/>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198" customWidth="1"/>
    <col min="2" max="2" width="9.140625" style="198" customWidth="1"/>
    <col min="3" max="15" width="1.7109375" style="198" hidden="1" customWidth="1" outlineLevel="1"/>
    <col min="16" max="16" width="9.140625" style="198" customWidth="1" collapsed="1"/>
    <col min="17" max="18" width="9.140625" style="198" customWidth="1"/>
    <col min="19" max="19" width="13.7109375" style="198" customWidth="1"/>
    <col min="20" max="20" width="12.7109375" style="198" customWidth="1"/>
    <col min="21" max="25" width="13.7109375" style="198" customWidth="1"/>
    <col min="26" max="38" width="9.140625" style="198" customWidth="1"/>
    <col min="39" max="39" width="10.7109375" style="198" customWidth="1"/>
    <col min="40" max="62" width="9.140625" style="198" customWidth="1"/>
    <col min="63" max="16384" width="9.140625" style="198" hidden="1"/>
  </cols>
  <sheetData>
    <row r="1" spans="1:61" ht="21">
      <c r="A1" s="4" t="s">
        <v>596</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198" t="str">
        <f>Indeksacja!$A$2</f>
        <v>Dla roku bazowego 2022 właściwe do zastosowania w analizie są wartości kosztów jednostkowych określone według poziomu cenowego z końca roku poprzedniego, tzn. 2021.</v>
      </c>
    </row>
    <row r="3" spans="1:61"/>
    <row r="4" spans="1:61">
      <c r="A4" s="1" t="s">
        <v>597</v>
      </c>
    </row>
    <row r="5" spans="1:61" hidden="1" outlineLevel="1">
      <c r="A5" s="1"/>
    </row>
    <row r="6" spans="1:61" s="216" customFormat="1" hidden="1" outlineLevel="1">
      <c r="A6" s="1"/>
      <c r="P6" s="1" t="s">
        <v>135</v>
      </c>
      <c r="V6" s="1" t="s">
        <v>131</v>
      </c>
      <c r="W6" s="1"/>
      <c r="Y6" s="1" t="s">
        <v>132</v>
      </c>
      <c r="Z6" s="1"/>
      <c r="AB6" s="1" t="s">
        <v>133</v>
      </c>
      <c r="AC6" s="1"/>
      <c r="AG6" s="1"/>
    </row>
    <row r="7" spans="1:61" s="216" customFormat="1" hidden="1" outlineLevel="1">
      <c r="A7" s="1"/>
      <c r="P7" s="175" t="s">
        <v>90</v>
      </c>
      <c r="Q7" s="176"/>
      <c r="R7" s="176"/>
      <c r="S7" s="187">
        <v>2030</v>
      </c>
      <c r="T7" s="187">
        <v>2050</v>
      </c>
      <c r="V7" s="187">
        <v>2030</v>
      </c>
      <c r="W7" s="187">
        <v>2050</v>
      </c>
      <c r="Y7" s="187">
        <v>2030</v>
      </c>
      <c r="Z7" s="187">
        <v>2050</v>
      </c>
      <c r="AB7" s="187">
        <v>2030</v>
      </c>
      <c r="AC7" s="187">
        <v>2050</v>
      </c>
      <c r="AG7" s="1"/>
    </row>
    <row r="8" spans="1:61" s="216" customFormat="1" hidden="1" outlineLevel="1">
      <c r="A8" s="1"/>
      <c r="P8" s="174" t="s">
        <v>91</v>
      </c>
      <c r="Q8" s="138"/>
      <c r="R8" s="138"/>
      <c r="S8" s="188">
        <v>0.27400000000000002</v>
      </c>
      <c r="T8" s="188">
        <v>0.17299999999999999</v>
      </c>
      <c r="V8" s="188">
        <v>0.26900000000000002</v>
      </c>
      <c r="W8" s="188">
        <v>0.154</v>
      </c>
      <c r="Y8" s="188">
        <v>0.26500000000000001</v>
      </c>
      <c r="Z8" s="188">
        <v>0.105</v>
      </c>
      <c r="AB8" s="188">
        <v>0.26100000000000001</v>
      </c>
      <c r="AC8" s="188">
        <v>9.4E-2</v>
      </c>
      <c r="AG8" s="1"/>
    </row>
    <row r="9" spans="1:61" s="216" customFormat="1" hidden="1" outlineLevel="1">
      <c r="A9" s="1"/>
      <c r="P9" s="174" t="s">
        <v>92</v>
      </c>
      <c r="Q9" s="138"/>
      <c r="R9" s="138"/>
      <c r="S9" s="188">
        <f>100%-SUM(S8,S10,S11,S12,S13)</f>
        <v>9.9999999999988987E-4</v>
      </c>
      <c r="T9" s="188">
        <f>100%-SUM(T8,T10,T11,T12,T13)</f>
        <v>9.000000000000008E-3</v>
      </c>
      <c r="V9" s="188">
        <f t="shared" ref="V9:W9" si="0">100%-SUM(V8,V10,V11,V12,V13)</f>
        <v>1.9999999999998908E-3</v>
      </c>
      <c r="W9" s="188">
        <f t="shared" si="0"/>
        <v>9.000000000000119E-3</v>
      </c>
      <c r="Y9" s="188">
        <f t="shared" ref="Y9:Z9" si="1">100%-SUM(Y8,Y10,Y11,Y12,Y13)</f>
        <v>9.9999999999988987E-4</v>
      </c>
      <c r="Z9" s="188">
        <f t="shared" si="1"/>
        <v>6.0000000000000053E-3</v>
      </c>
      <c r="AB9" s="188">
        <f t="shared" ref="AB9:AC9" si="2">100%-SUM(AB8,AB10,AB11,AB12,AB13)</f>
        <v>2.0000000000000018E-3</v>
      </c>
      <c r="AC9" s="188">
        <f t="shared" si="2"/>
        <v>6.0000000000000053E-3</v>
      </c>
      <c r="AG9" s="1"/>
    </row>
    <row r="10" spans="1:61" s="216" customFormat="1" hidden="1" outlineLevel="1">
      <c r="A10" s="1"/>
      <c r="P10" s="174" t="s">
        <v>93</v>
      </c>
      <c r="Q10" s="138"/>
      <c r="R10" s="138"/>
      <c r="S10" s="188">
        <v>0.122</v>
      </c>
      <c r="T10" s="188">
        <v>9.8000000000000004E-2</v>
      </c>
      <c r="V10" s="188">
        <v>0.12</v>
      </c>
      <c r="W10" s="188">
        <v>8.6999999999999994E-2</v>
      </c>
      <c r="Y10" s="188">
        <v>0.11700000000000001</v>
      </c>
      <c r="Z10" s="188">
        <v>5.8000000000000003E-2</v>
      </c>
      <c r="AB10" s="188">
        <v>0.11600000000000001</v>
      </c>
      <c r="AC10" s="188">
        <v>5.1999999999999998E-2</v>
      </c>
      <c r="AG10" s="1"/>
    </row>
    <row r="11" spans="1:61" s="216" customFormat="1" hidden="1" outlineLevel="1">
      <c r="A11" s="1"/>
      <c r="P11" s="174" t="s">
        <v>94</v>
      </c>
      <c r="Q11" s="138"/>
      <c r="R11" s="138"/>
      <c r="S11" s="188">
        <v>0.52500000000000002</v>
      </c>
      <c r="T11" s="188">
        <v>0.38900000000000001</v>
      </c>
      <c r="V11" s="188">
        <v>0.52700000000000002</v>
      </c>
      <c r="W11" s="188">
        <v>0.371</v>
      </c>
      <c r="Y11" s="188">
        <v>0.502</v>
      </c>
      <c r="Z11" s="188">
        <v>0.218</v>
      </c>
      <c r="AB11" s="188">
        <v>0.503</v>
      </c>
      <c r="AC11" s="188">
        <v>0.20499999999999999</v>
      </c>
      <c r="AG11" s="1"/>
    </row>
    <row r="12" spans="1:61" s="216" customFormat="1" hidden="1" outlineLevel="1">
      <c r="A12" s="1"/>
      <c r="P12" s="174" t="s">
        <v>108</v>
      </c>
      <c r="Q12" s="138"/>
      <c r="R12" s="138"/>
      <c r="S12" s="188">
        <v>3.9E-2</v>
      </c>
      <c r="T12" s="188">
        <v>9.9000000000000005E-2</v>
      </c>
      <c r="V12" s="188">
        <v>0.04</v>
      </c>
      <c r="W12" s="188">
        <v>9.6000000000000002E-2</v>
      </c>
      <c r="Y12" s="188">
        <v>5.3999999999999999E-2</v>
      </c>
      <c r="Z12" s="188">
        <v>0.123</v>
      </c>
      <c r="AB12" s="188">
        <v>5.1999999999999998E-2</v>
      </c>
      <c r="AC12" s="188">
        <v>0.1</v>
      </c>
      <c r="AG12" s="1"/>
    </row>
    <row r="13" spans="1:61" s="216" customFormat="1" hidden="1" outlineLevel="1">
      <c r="A13" s="1"/>
      <c r="P13" s="174" t="s">
        <v>95</v>
      </c>
      <c r="Q13" s="138"/>
      <c r="R13" s="138"/>
      <c r="S13" s="188">
        <v>3.9E-2</v>
      </c>
      <c r="T13" s="188">
        <v>0.23200000000000001</v>
      </c>
      <c r="V13" s="188">
        <v>4.2000000000000003E-2</v>
      </c>
      <c r="W13" s="188">
        <v>0.28299999999999997</v>
      </c>
      <c r="Y13" s="188">
        <v>6.0999999999999999E-2</v>
      </c>
      <c r="Z13" s="188">
        <v>0.49</v>
      </c>
      <c r="AB13" s="188">
        <v>6.6000000000000003E-2</v>
      </c>
      <c r="AC13" s="188">
        <v>0.54300000000000004</v>
      </c>
      <c r="AG13" s="1"/>
    </row>
    <row r="14" spans="1:61" s="216" customFormat="1" hidden="1" outlineLevel="1">
      <c r="A14" s="1"/>
      <c r="S14" s="218" t="b">
        <f>SUM(S8:S13)=100%</f>
        <v>1</v>
      </c>
      <c r="T14" s="218" t="b">
        <f>SUM(T8:T13)=100%</f>
        <v>1</v>
      </c>
      <c r="V14" s="218" t="b">
        <f t="shared" ref="V14:W14" si="3">SUM(V8:V13)=100%</f>
        <v>1</v>
      </c>
      <c r="W14" s="218" t="b">
        <f t="shared" si="3"/>
        <v>1</v>
      </c>
      <c r="Y14" s="218" t="b">
        <f t="shared" ref="Y14:Z14" si="4">SUM(Y8:Y13)=100%</f>
        <v>1</v>
      </c>
      <c r="Z14" s="218" t="b">
        <f t="shared" si="4"/>
        <v>1</v>
      </c>
      <c r="AB14" s="218" t="b">
        <f t="shared" ref="AB14:AC14" si="5">SUM(AB8:AB13)=100%</f>
        <v>1</v>
      </c>
      <c r="AC14" s="218" t="b">
        <f t="shared" si="5"/>
        <v>1</v>
      </c>
      <c r="AG14" s="1"/>
    </row>
    <row r="15" spans="1:61" s="216" customFormat="1" ht="18" hidden="1" outlineLevel="1">
      <c r="A15"/>
      <c r="B15"/>
      <c r="C15"/>
      <c r="D15"/>
      <c r="E15"/>
      <c r="F15"/>
      <c r="G15"/>
      <c r="H15"/>
      <c r="I15"/>
      <c r="J15"/>
      <c r="K15"/>
      <c r="L15"/>
      <c r="M15"/>
      <c r="N15"/>
      <c r="O15"/>
      <c r="P15" s="35" t="s">
        <v>598</v>
      </c>
      <c r="Q15"/>
      <c r="R15"/>
      <c r="S15"/>
      <c r="T15"/>
      <c r="U15"/>
      <c r="V15"/>
      <c r="W15"/>
      <c r="X15"/>
      <c r="Y15"/>
      <c r="Z15"/>
      <c r="AA15"/>
      <c r="AB15"/>
      <c r="AC15"/>
      <c r="AD15"/>
      <c r="AE15"/>
      <c r="AF15"/>
      <c r="AG15"/>
      <c r="AH15"/>
      <c r="AI15"/>
      <c r="AJ15"/>
      <c r="AK15"/>
      <c r="AL15"/>
      <c r="AM15"/>
      <c r="AN15"/>
      <c r="AO15"/>
      <c r="AP15"/>
      <c r="AQ15"/>
      <c r="AR15"/>
      <c r="AS15"/>
      <c r="AT15"/>
    </row>
    <row r="16" spans="1:61" s="216" customFormat="1" hidden="1" outlineLevel="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5" s="216" customFormat="1" hidden="1" outlineLevel="1">
      <c r="A17" s="1"/>
      <c r="P17" s="1" t="s">
        <v>134</v>
      </c>
      <c r="Q17" s="198"/>
      <c r="R17" s="198"/>
      <c r="S17" s="198"/>
      <c r="T17" s="198"/>
      <c r="U17" s="198"/>
      <c r="V17" s="198"/>
      <c r="W17" s="1" t="s">
        <v>130</v>
      </c>
      <c r="X17" s="198"/>
      <c r="Y17" s="198"/>
      <c r="Z17" s="198"/>
      <c r="AA17" s="198"/>
      <c r="AB17" s="198"/>
      <c r="AC17" s="198"/>
      <c r="AD17" s="198"/>
      <c r="AE17" s="198"/>
      <c r="AF17" s="198"/>
      <c r="AG17" s="1" t="s">
        <v>601</v>
      </c>
    </row>
    <row r="18" spans="1:45" ht="30" hidden="1" customHeight="1" outlineLevel="1">
      <c r="P18" s="175" t="s">
        <v>90</v>
      </c>
      <c r="Q18" s="176"/>
      <c r="R18" s="176"/>
      <c r="S18" s="186" t="s">
        <v>97</v>
      </c>
      <c r="T18" s="187">
        <v>2030</v>
      </c>
      <c r="U18" s="187">
        <v>2050</v>
      </c>
      <c r="W18" s="175" t="s">
        <v>90</v>
      </c>
      <c r="X18" s="176"/>
      <c r="Y18" s="186" t="s">
        <v>97</v>
      </c>
      <c r="Z18" s="187">
        <v>2030</v>
      </c>
      <c r="AA18" s="187">
        <v>2050</v>
      </c>
      <c r="AG18" s="175" t="s">
        <v>90</v>
      </c>
      <c r="AH18" s="176"/>
      <c r="AI18" s="176"/>
      <c r="AJ18" s="176"/>
      <c r="AK18" s="176"/>
      <c r="AL18" s="752" t="s">
        <v>89</v>
      </c>
      <c r="AM18" s="753"/>
      <c r="AN18" s="752" t="s">
        <v>602</v>
      </c>
      <c r="AO18" s="753"/>
      <c r="AP18" s="183" t="s">
        <v>111</v>
      </c>
      <c r="AQ18" s="183" t="s">
        <v>102</v>
      </c>
      <c r="AR18" s="752" t="s">
        <v>103</v>
      </c>
      <c r="AS18" s="753"/>
    </row>
    <row r="19" spans="1:45" hidden="1" outlineLevel="1">
      <c r="P19" s="174" t="s">
        <v>91</v>
      </c>
      <c r="Q19" s="138"/>
      <c r="R19" s="138"/>
      <c r="S19" s="188">
        <f>AM20/SUM($AM$19:$AM$22)</f>
        <v>0.32096401495455057</v>
      </c>
      <c r="T19" s="188">
        <f>S8</f>
        <v>0.27400000000000002</v>
      </c>
      <c r="U19" s="188">
        <f t="shared" ref="U19:U24" si="6">T8</f>
        <v>0.17299999999999999</v>
      </c>
      <c r="W19" s="174" t="str">
        <f t="shared" ref="W19:W24" si="7">P19</f>
        <v>Olej napędowy</v>
      </c>
      <c r="X19" s="138"/>
      <c r="Y19" s="188">
        <f>100%-SUM(Y20,Y21,Y22,Y23,Y24)</f>
        <v>1</v>
      </c>
      <c r="Z19" s="188">
        <f>100%-SUM(Z20,Z21,Z22,Z23,Z24)</f>
        <v>1</v>
      </c>
      <c r="AA19" s="188">
        <f>100%-SUM(AA20,AA21,AA22,AA23,AA24)</f>
        <v>1</v>
      </c>
      <c r="AG19" s="184" t="s">
        <v>94</v>
      </c>
      <c r="AH19" s="138"/>
      <c r="AI19" s="138"/>
      <c r="AJ19" s="138"/>
      <c r="AK19" s="138"/>
      <c r="AL19" s="179">
        <f>AM19/$AM$26</f>
        <v>0.53795127330859149</v>
      </c>
      <c r="AM19" s="177">
        <v>12787991</v>
      </c>
      <c r="AN19" s="179">
        <f>AO19/$AO$26</f>
        <v>0.17561347134022764</v>
      </c>
      <c r="AO19" s="177">
        <f t="shared" ref="AO19:AO25" si="8">SUM(AP19,AQ19)</f>
        <v>620945</v>
      </c>
      <c r="AP19" s="181">
        <v>619344</v>
      </c>
      <c r="AQ19" s="181">
        <v>1601</v>
      </c>
      <c r="AR19" s="179">
        <f>AS19/$AS$26</f>
        <v>3.9739010058180618E-2</v>
      </c>
      <c r="AS19" s="177">
        <v>4105</v>
      </c>
    </row>
    <row r="20" spans="1:45" hidden="1" outlineLevel="1">
      <c r="P20" s="174" t="s">
        <v>92</v>
      </c>
      <c r="Q20" s="138"/>
      <c r="R20" s="138"/>
      <c r="S20" s="188">
        <v>0</v>
      </c>
      <c r="T20" s="188">
        <f t="shared" ref="T20:T24" si="9">S9</f>
        <v>9.9999999999988987E-4</v>
      </c>
      <c r="U20" s="188">
        <f t="shared" si="6"/>
        <v>9.000000000000008E-3</v>
      </c>
      <c r="W20" s="174" t="str">
        <f t="shared" si="7"/>
        <v>Gaz CNG</v>
      </c>
      <c r="X20" s="138"/>
      <c r="Y20" s="188">
        <v>0</v>
      </c>
      <c r="Z20" s="188">
        <v>0</v>
      </c>
      <c r="AA20" s="188">
        <v>0</v>
      </c>
      <c r="AG20" s="184" t="s">
        <v>91</v>
      </c>
      <c r="AH20" s="138"/>
      <c r="AI20" s="138"/>
      <c r="AJ20" s="138"/>
      <c r="AK20" s="138"/>
      <c r="AL20" s="179">
        <f t="shared" ref="AL20:AL26" si="10">AM20/$AM$26</f>
        <v>0.32055015273864212</v>
      </c>
      <c r="AM20" s="177">
        <v>7620007</v>
      </c>
      <c r="AN20" s="179">
        <f t="shared" ref="AN20:AN26" si="11">AO20/$AO$26</f>
        <v>0.77277931095727148</v>
      </c>
      <c r="AO20" s="177">
        <f t="shared" si="8"/>
        <v>2732441</v>
      </c>
      <c r="AP20" s="181">
        <v>2330551</v>
      </c>
      <c r="AQ20" s="181">
        <v>401890</v>
      </c>
      <c r="AR20" s="179">
        <f t="shared" ref="AR20:AR26" si="12">AS20/$AS$26</f>
        <v>0.94221628476558339</v>
      </c>
      <c r="AS20" s="177">
        <v>97330</v>
      </c>
    </row>
    <row r="21" spans="1:45" hidden="1" outlineLevel="1">
      <c r="P21" s="174" t="s">
        <v>93</v>
      </c>
      <c r="Q21" s="138"/>
      <c r="R21" s="138"/>
      <c r="S21" s="188">
        <f>AM21/SUM($AM$19:$AM$22)</f>
        <v>0.14016359293359199</v>
      </c>
      <c r="T21" s="188">
        <f t="shared" si="9"/>
        <v>0.122</v>
      </c>
      <c r="U21" s="188">
        <f t="shared" si="6"/>
        <v>9.8000000000000004E-2</v>
      </c>
      <c r="W21" s="174" t="str">
        <f t="shared" si="7"/>
        <v>Gaz LPG</v>
      </c>
      <c r="X21" s="138"/>
      <c r="Y21" s="188">
        <v>0</v>
      </c>
      <c r="Z21" s="188">
        <v>0</v>
      </c>
      <c r="AA21" s="188">
        <v>0</v>
      </c>
      <c r="AG21" s="184" t="s">
        <v>98</v>
      </c>
      <c r="AH21" s="138"/>
      <c r="AI21" s="138"/>
      <c r="AJ21" s="138"/>
      <c r="AK21" s="138"/>
      <c r="AL21" s="179">
        <f t="shared" si="10"/>
        <v>0.13998286109931019</v>
      </c>
      <c r="AM21" s="177">
        <v>3327624</v>
      </c>
      <c r="AN21" s="179">
        <f t="shared" si="11"/>
        <v>4.9846402376563341E-2</v>
      </c>
      <c r="AO21" s="177">
        <f t="shared" si="8"/>
        <v>176250</v>
      </c>
      <c r="AP21" s="181">
        <v>174294</v>
      </c>
      <c r="AQ21" s="181">
        <v>1956</v>
      </c>
      <c r="AR21" s="179">
        <f t="shared" si="12"/>
        <v>7.5024927637247218E-3</v>
      </c>
      <c r="AS21" s="177">
        <v>775</v>
      </c>
    </row>
    <row r="22" spans="1:45" hidden="1" outlineLevel="1">
      <c r="P22" s="174" t="s">
        <v>94</v>
      </c>
      <c r="Q22" s="138"/>
      <c r="R22" s="138"/>
      <c r="S22" s="188">
        <f>100%-SUM(S19,S20,S21,S23,S24)</f>
        <v>0.53887239211185745</v>
      </c>
      <c r="T22" s="188">
        <f t="shared" si="9"/>
        <v>0.52500000000000002</v>
      </c>
      <c r="U22" s="188">
        <f t="shared" si="6"/>
        <v>0.38900000000000001</v>
      </c>
      <c r="W22" s="174" t="str">
        <f t="shared" si="7"/>
        <v>Benzyna</v>
      </c>
      <c r="X22" s="138"/>
      <c r="Y22" s="188">
        <v>0</v>
      </c>
      <c r="Z22" s="188">
        <v>0</v>
      </c>
      <c r="AA22" s="188">
        <v>0</v>
      </c>
      <c r="AG22" s="184" t="s">
        <v>99</v>
      </c>
      <c r="AH22" s="138"/>
      <c r="AI22" s="138"/>
      <c r="AJ22" s="138"/>
      <c r="AK22" s="138"/>
      <c r="AL22" s="179">
        <f t="shared" si="10"/>
        <v>2.2627791176322489E-4</v>
      </c>
      <c r="AM22" s="177">
        <v>5379</v>
      </c>
      <c r="AN22" s="179">
        <f t="shared" si="11"/>
        <v>1.3329140107843575E-3</v>
      </c>
      <c r="AO22" s="177">
        <f t="shared" si="8"/>
        <v>4713</v>
      </c>
      <c r="AP22" s="181">
        <v>2846</v>
      </c>
      <c r="AQ22" s="181">
        <v>1867</v>
      </c>
      <c r="AR22" s="179">
        <f t="shared" si="12"/>
        <v>7.2701575039448591E-3</v>
      </c>
      <c r="AS22" s="177">
        <v>751</v>
      </c>
    </row>
    <row r="23" spans="1:45" hidden="1" outlineLevel="1">
      <c r="P23" s="174" t="s">
        <v>108</v>
      </c>
      <c r="Q23" s="138"/>
      <c r="R23" s="138"/>
      <c r="S23" s="188">
        <v>0</v>
      </c>
      <c r="T23" s="188">
        <f t="shared" si="9"/>
        <v>3.9E-2</v>
      </c>
      <c r="U23" s="188">
        <f t="shared" si="6"/>
        <v>9.9000000000000005E-2</v>
      </c>
      <c r="W23" s="174" t="str">
        <f t="shared" si="7"/>
        <v>Hybrydowe (paliwa +elektryczne)</v>
      </c>
      <c r="X23" s="138"/>
      <c r="Y23" s="188">
        <v>0</v>
      </c>
      <c r="Z23" s="188">
        <v>0</v>
      </c>
      <c r="AA23" s="188">
        <v>0</v>
      </c>
      <c r="AG23" s="184" t="s">
        <v>100</v>
      </c>
      <c r="AH23" s="138"/>
      <c r="AI23" s="138"/>
      <c r="AJ23" s="138"/>
      <c r="AK23" s="138"/>
      <c r="AL23" s="179">
        <f t="shared" si="10"/>
        <v>2.1857966713547433E-4</v>
      </c>
      <c r="AM23" s="177">
        <v>5196</v>
      </c>
      <c r="AN23" s="179">
        <f t="shared" si="11"/>
        <v>4.1771992232728539E-4</v>
      </c>
      <c r="AO23" s="177">
        <f t="shared" si="8"/>
        <v>1477</v>
      </c>
      <c r="AP23" s="181">
        <v>1416</v>
      </c>
      <c r="AQ23" s="181">
        <v>61</v>
      </c>
      <c r="AR23" s="179">
        <f t="shared" si="12"/>
        <v>3.2720549085663948E-3</v>
      </c>
      <c r="AS23" s="177">
        <v>338</v>
      </c>
    </row>
    <row r="24" spans="1:45" hidden="1" outlineLevel="1">
      <c r="P24" s="174" t="s">
        <v>95</v>
      </c>
      <c r="Q24" s="138"/>
      <c r="R24" s="138"/>
      <c r="S24" s="188">
        <v>0</v>
      </c>
      <c r="T24" s="188">
        <f t="shared" si="9"/>
        <v>3.9E-2</v>
      </c>
      <c r="U24" s="188">
        <f t="shared" si="6"/>
        <v>0.23200000000000001</v>
      </c>
      <c r="W24" s="174" t="str">
        <f t="shared" si="7"/>
        <v>Elektryczne</v>
      </c>
      <c r="X24" s="138"/>
      <c r="Y24" s="188">
        <v>0</v>
      </c>
      <c r="Z24" s="188">
        <v>0</v>
      </c>
      <c r="AA24" s="188">
        <v>0</v>
      </c>
      <c r="AG24" s="184" t="s">
        <v>603</v>
      </c>
      <c r="AH24" s="138"/>
      <c r="AI24" s="138"/>
      <c r="AJ24" s="138"/>
      <c r="AK24" s="138"/>
      <c r="AL24" s="179">
        <f t="shared" si="10"/>
        <v>9.5777941904166277E-4</v>
      </c>
      <c r="AM24" s="177">
        <v>22768</v>
      </c>
      <c r="AN24" s="179">
        <f t="shared" si="11"/>
        <v>8.4844940215426958E-6</v>
      </c>
      <c r="AO24" s="177">
        <f t="shared" si="8"/>
        <v>30</v>
      </c>
      <c r="AP24" s="181">
        <v>30</v>
      </c>
      <c r="AQ24" s="181">
        <v>0</v>
      </c>
      <c r="AR24" s="179">
        <f t="shared" si="12"/>
        <v>0</v>
      </c>
      <c r="AS24" s="177">
        <v>0</v>
      </c>
    </row>
    <row r="25" spans="1:45" ht="18" hidden="1" customHeight="1" outlineLevel="1">
      <c r="P25" s="764" t="s">
        <v>599</v>
      </c>
      <c r="Q25" s="764"/>
      <c r="R25" s="764"/>
      <c r="S25" s="764"/>
      <c r="T25" s="764"/>
      <c r="U25" s="764"/>
      <c r="W25" s="761" t="s">
        <v>600</v>
      </c>
      <c r="X25" s="761"/>
      <c r="Y25" s="761"/>
      <c r="Z25" s="761"/>
      <c r="AA25" s="761"/>
      <c r="AB25" s="761"/>
      <c r="AC25" s="761"/>
      <c r="AD25" s="761"/>
      <c r="AE25" s="672"/>
      <c r="AG25" s="184" t="s">
        <v>604</v>
      </c>
      <c r="AH25" s="138"/>
      <c r="AI25" s="138"/>
      <c r="AJ25" s="138"/>
      <c r="AK25" s="138"/>
      <c r="AL25" s="179">
        <f t="shared" si="10"/>
        <v>1.1307585551581121E-4</v>
      </c>
      <c r="AM25" s="177">
        <v>2688</v>
      </c>
      <c r="AN25" s="179">
        <f t="shared" si="11"/>
        <v>1.6968988043085393E-6</v>
      </c>
      <c r="AO25" s="177">
        <f t="shared" si="8"/>
        <v>6</v>
      </c>
      <c r="AP25" s="181">
        <v>6</v>
      </c>
      <c r="AQ25" s="181">
        <v>0</v>
      </c>
      <c r="AR25" s="179">
        <f t="shared" si="12"/>
        <v>0</v>
      </c>
      <c r="AS25" s="177">
        <v>0</v>
      </c>
    </row>
    <row r="26" spans="1:45" hidden="1" outlineLevel="1">
      <c r="P26" s="765"/>
      <c r="Q26" s="765"/>
      <c r="R26" s="765"/>
      <c r="S26" s="765"/>
      <c r="T26" s="765"/>
      <c r="U26" s="765"/>
      <c r="W26" s="761"/>
      <c r="X26" s="761"/>
      <c r="Y26" s="761"/>
      <c r="Z26" s="761"/>
      <c r="AA26" s="761"/>
      <c r="AB26" s="761"/>
      <c r="AC26" s="761"/>
      <c r="AD26" s="761"/>
      <c r="AE26" s="672"/>
      <c r="AG26" s="172" t="s">
        <v>104</v>
      </c>
      <c r="AH26" s="173"/>
      <c r="AI26" s="173"/>
      <c r="AJ26" s="173"/>
      <c r="AK26" s="173"/>
      <c r="AL26" s="180">
        <f t="shared" si="10"/>
        <v>1</v>
      </c>
      <c r="AM26" s="178">
        <f>SUM(AM19:AM25)</f>
        <v>23771653</v>
      </c>
      <c r="AN26" s="180">
        <f t="shared" si="11"/>
        <v>1</v>
      </c>
      <c r="AO26" s="178">
        <f>SUM(AO19:AO25)</f>
        <v>3535862</v>
      </c>
      <c r="AP26" s="182">
        <f t="shared" ref="AP26:AQ26" si="13">SUM(AP19:AP25)</f>
        <v>3128487</v>
      </c>
      <c r="AQ26" s="182">
        <f t="shared" si="13"/>
        <v>407375</v>
      </c>
      <c r="AR26" s="180">
        <f t="shared" si="12"/>
        <v>1</v>
      </c>
      <c r="AS26" s="178">
        <f>SUM(AS19:AS25)</f>
        <v>103299</v>
      </c>
    </row>
    <row r="27" spans="1:45" hidden="1" outlineLevel="1">
      <c r="P27"/>
      <c r="Q27"/>
      <c r="R27"/>
      <c r="S27"/>
      <c r="T27"/>
      <c r="U27"/>
      <c r="V27"/>
      <c r="W27" s="761"/>
      <c r="X27" s="761"/>
      <c r="Y27" s="761"/>
      <c r="Z27" s="761"/>
      <c r="AA27" s="761"/>
      <c r="AB27" s="761"/>
      <c r="AC27" s="761"/>
      <c r="AD27" s="761"/>
      <c r="AE27" s="672"/>
      <c r="AG27" s="184" t="s">
        <v>605</v>
      </c>
      <c r="AH27" s="138"/>
      <c r="AI27" s="138"/>
      <c r="AJ27" s="138"/>
      <c r="AK27" s="138"/>
      <c r="AL27" s="179">
        <f>AM27/$AM$28</f>
        <v>2.415882551867668E-2</v>
      </c>
      <c r="AM27" s="177">
        <f>AM28-AM26</f>
        <v>588513</v>
      </c>
      <c r="AN27" s="179">
        <f>AO27/$AO$28</f>
        <v>8.9515969756124442E-2</v>
      </c>
      <c r="AO27" s="177">
        <f>AO28-AO26</f>
        <v>347635</v>
      </c>
      <c r="AP27" s="181">
        <f t="shared" ref="AP27:AQ27" si="14">AP28-AP26</f>
        <v>307697</v>
      </c>
      <c r="AQ27" s="181">
        <f t="shared" si="14"/>
        <v>39938</v>
      </c>
      <c r="AR27" s="179">
        <f>AS27/$AS$28</f>
        <v>0.15745815797200743</v>
      </c>
      <c r="AS27" s="177">
        <f>AS28-AS26</f>
        <v>19305</v>
      </c>
    </row>
    <row r="28" spans="1:45" hidden="1" outlineLevel="1">
      <c r="P28"/>
      <c r="Q28"/>
      <c r="R28"/>
      <c r="S28"/>
      <c r="T28"/>
      <c r="U28"/>
      <c r="V28"/>
      <c r="W28" s="761"/>
      <c r="X28" s="761"/>
      <c r="Y28" s="761"/>
      <c r="Z28" s="761"/>
      <c r="AA28" s="761"/>
      <c r="AB28" s="761"/>
      <c r="AC28" s="761"/>
      <c r="AD28" s="761"/>
      <c r="AE28" s="672"/>
      <c r="AG28" s="172" t="s">
        <v>101</v>
      </c>
      <c r="AH28" s="173"/>
      <c r="AI28" s="173"/>
      <c r="AJ28" s="173"/>
      <c r="AK28" s="173"/>
      <c r="AL28" s="180">
        <f>AM28/$AM$28</f>
        <v>1</v>
      </c>
      <c r="AM28" s="178">
        <v>24360166</v>
      </c>
      <c r="AN28" s="180">
        <f>AO28/$AO$28</f>
        <v>1</v>
      </c>
      <c r="AO28" s="178">
        <f>SUM(AP28,AQ28)</f>
        <v>3883497</v>
      </c>
      <c r="AP28" s="182">
        <v>3436184</v>
      </c>
      <c r="AQ28" s="182">
        <v>447313</v>
      </c>
      <c r="AR28" s="180">
        <f>AS28/$AS$28</f>
        <v>1</v>
      </c>
      <c r="AS28" s="178">
        <v>122604</v>
      </c>
    </row>
    <row r="29" spans="1:45" hidden="1" outlineLevel="1">
      <c r="P29"/>
      <c r="Q29"/>
      <c r="R29"/>
      <c r="S29"/>
      <c r="T29"/>
      <c r="U29"/>
      <c r="V29"/>
      <c r="W29" s="761"/>
      <c r="X29" s="761"/>
      <c r="Y29" s="761"/>
      <c r="Z29" s="761"/>
      <c r="AA29" s="761"/>
      <c r="AB29" s="761"/>
      <c r="AC29" s="761"/>
      <c r="AD29" s="761"/>
      <c r="AE29" s="672"/>
      <c r="AG29" s="35" t="s">
        <v>606</v>
      </c>
    </row>
    <row r="30" spans="1:45" s="613" customFormat="1" hidden="1" outlineLevel="1">
      <c r="W30" s="761"/>
      <c r="X30" s="761"/>
      <c r="Y30" s="761"/>
      <c r="Z30" s="761"/>
      <c r="AA30" s="761"/>
      <c r="AB30" s="761"/>
      <c r="AC30" s="761"/>
      <c r="AD30" s="761"/>
      <c r="AG30" s="35"/>
    </row>
    <row r="31" spans="1:45" s="613" customFormat="1" hidden="1" outlineLevel="1">
      <c r="AG31" s="35"/>
    </row>
    <row r="32" spans="1:45" hidden="1" outlineLevel="1">
      <c r="P32" s="185" t="s">
        <v>105</v>
      </c>
      <c r="W32" s="185" t="s">
        <v>106</v>
      </c>
      <c r="AG32" s="35"/>
      <c r="AL32"/>
    </row>
    <row r="33" spans="1:38" hidden="1" outlineLevel="1">
      <c r="P33" s="175" t="s">
        <v>90</v>
      </c>
      <c r="Q33" s="176"/>
      <c r="R33" s="176"/>
      <c r="S33" s="186" t="s">
        <v>97</v>
      </c>
      <c r="T33" s="187">
        <v>2030</v>
      </c>
      <c r="U33" s="187">
        <v>2050</v>
      </c>
      <c r="W33" s="175" t="s">
        <v>90</v>
      </c>
      <c r="X33" s="176"/>
      <c r="Y33" s="186" t="s">
        <v>97</v>
      </c>
      <c r="Z33" s="187">
        <v>2030</v>
      </c>
      <c r="AA33" s="187">
        <v>2050</v>
      </c>
      <c r="AG33" s="35"/>
      <c r="AL33"/>
    </row>
    <row r="34" spans="1:38" hidden="1" outlineLevel="1">
      <c r="P34" s="174" t="s">
        <v>609</v>
      </c>
      <c r="Q34" s="81"/>
      <c r="R34" s="81"/>
      <c r="S34" s="219">
        <f>SUM(S19:S22)</f>
        <v>1</v>
      </c>
      <c r="T34" s="219">
        <f>SUM(T19:T22)</f>
        <v>0.92199999999999993</v>
      </c>
      <c r="U34" s="219">
        <f>SUM(U19:U22)</f>
        <v>0.66900000000000004</v>
      </c>
      <c r="W34" s="174" t="s">
        <v>609</v>
      </c>
      <c r="X34" s="81"/>
      <c r="Y34" s="219">
        <f>SUM(Y19:Y22)</f>
        <v>1</v>
      </c>
      <c r="Z34" s="219">
        <f>SUM(Z19:Z22)</f>
        <v>1</v>
      </c>
      <c r="AA34" s="219">
        <f>SUM(AA19:AA22)</f>
        <v>1</v>
      </c>
      <c r="AG34" s="35"/>
    </row>
    <row r="35" spans="1:38" s="227" customFormat="1" hidden="1" outlineLevel="1">
      <c r="P35" s="225" t="s">
        <v>607</v>
      </c>
      <c r="Q35" s="228"/>
      <c r="R35" s="228"/>
      <c r="S35" s="229">
        <f>SUM(S20:S22)</f>
        <v>0.67903598504544949</v>
      </c>
      <c r="T35" s="229">
        <f t="shared" ref="T35:U35" si="15">SUM(T20:T22)</f>
        <v>0.64799999999999991</v>
      </c>
      <c r="U35" s="229">
        <f t="shared" si="15"/>
        <v>0.496</v>
      </c>
      <c r="W35" s="225" t="s">
        <v>607</v>
      </c>
      <c r="X35" s="228"/>
      <c r="Y35" s="229">
        <f>SUM(Y20:Y22)</f>
        <v>0</v>
      </c>
      <c r="Z35" s="229">
        <f t="shared" ref="Z35:AA35" si="16">SUM(Z20:Z22)</f>
        <v>0</v>
      </c>
      <c r="AA35" s="229">
        <f t="shared" si="16"/>
        <v>0</v>
      </c>
      <c r="AG35" s="35"/>
    </row>
    <row r="36" spans="1:38" s="227" customFormat="1" hidden="1" outlineLevel="1">
      <c r="P36" s="225" t="s">
        <v>91</v>
      </c>
      <c r="Q36" s="228"/>
      <c r="R36" s="228"/>
      <c r="S36" s="229">
        <f>S19</f>
        <v>0.32096401495455057</v>
      </c>
      <c r="T36" s="229">
        <f t="shared" ref="T36:U36" si="17">T19</f>
        <v>0.27400000000000002</v>
      </c>
      <c r="U36" s="229">
        <f t="shared" si="17"/>
        <v>0.17299999999999999</v>
      </c>
      <c r="W36" s="225" t="s">
        <v>91</v>
      </c>
      <c r="X36" s="228"/>
      <c r="Y36" s="229">
        <f>Y19</f>
        <v>1</v>
      </c>
      <c r="Z36" s="229">
        <f t="shared" ref="Z36:AA36" si="18">Z19</f>
        <v>1</v>
      </c>
      <c r="AA36" s="229">
        <f t="shared" si="18"/>
        <v>1</v>
      </c>
      <c r="AG36" s="35"/>
    </row>
    <row r="37" spans="1:38" hidden="1" outlineLevel="1">
      <c r="P37" s="174" t="s">
        <v>608</v>
      </c>
      <c r="Q37" s="138"/>
      <c r="R37" s="138"/>
      <c r="S37" s="188">
        <f>SUM(S23:S24)</f>
        <v>0</v>
      </c>
      <c r="T37" s="188">
        <f>SUM(T23:T24)</f>
        <v>7.8E-2</v>
      </c>
      <c r="U37" s="188">
        <f>SUM(U23:U24)</f>
        <v>0.33100000000000002</v>
      </c>
      <c r="W37" s="174" t="s">
        <v>608</v>
      </c>
      <c r="X37" s="138"/>
      <c r="Y37" s="188">
        <f>SUM(Y23:Y24)</f>
        <v>0</v>
      </c>
      <c r="Z37" s="188">
        <f>SUM(Z23:Z24)</f>
        <v>0</v>
      </c>
      <c r="AA37" s="188">
        <f>SUM(AA23:AA24)</f>
        <v>0</v>
      </c>
      <c r="AG37" s="35"/>
    </row>
    <row r="38" spans="1:38" hidden="1" outlineLevel="1">
      <c r="S38" s="227"/>
      <c r="T38" s="227"/>
      <c r="U38" s="227"/>
      <c r="AG38" s="35"/>
    </row>
    <row r="39" spans="1:38" s="334" customFormat="1" hidden="1" outlineLevel="1">
      <c r="A39" s="762" t="s">
        <v>610</v>
      </c>
      <c r="B39" s="762"/>
      <c r="C39" s="762"/>
      <c r="D39" s="762"/>
      <c r="E39" s="762"/>
      <c r="F39" s="762"/>
      <c r="G39" s="762"/>
      <c r="H39" s="762"/>
      <c r="I39" s="762"/>
      <c r="J39" s="762"/>
      <c r="K39" s="762"/>
      <c r="L39" s="762"/>
      <c r="M39" s="762"/>
      <c r="N39" s="762"/>
      <c r="O39" s="762"/>
      <c r="P39" s="762"/>
      <c r="Q39" s="762"/>
      <c r="R39" s="762"/>
      <c r="S39" s="762"/>
      <c r="T39" s="762"/>
      <c r="U39" s="762"/>
      <c r="V39" s="762"/>
      <c r="AG39" s="35"/>
    </row>
    <row r="40" spans="1:38" s="613" customFormat="1" hidden="1" outlineLevel="1">
      <c r="A40" s="762"/>
      <c r="B40" s="762"/>
      <c r="C40" s="762"/>
      <c r="D40" s="762"/>
      <c r="E40" s="762"/>
      <c r="F40" s="762"/>
      <c r="G40" s="762"/>
      <c r="H40" s="762"/>
      <c r="I40" s="762"/>
      <c r="J40" s="762"/>
      <c r="K40" s="762"/>
      <c r="L40" s="762"/>
      <c r="M40" s="762"/>
      <c r="N40" s="762"/>
      <c r="O40" s="762"/>
      <c r="P40" s="762"/>
      <c r="Q40" s="762"/>
      <c r="R40" s="762"/>
      <c r="S40" s="762"/>
      <c r="T40" s="762"/>
      <c r="U40" s="762"/>
      <c r="V40" s="762"/>
      <c r="AG40" s="35"/>
    </row>
    <row r="41" spans="1:38" s="334" customFormat="1" hidden="1" outlineLevel="1">
      <c r="A41" s="203" t="s">
        <v>122</v>
      </c>
      <c r="B41" s="9"/>
      <c r="C41" s="9"/>
      <c r="D41" s="9"/>
      <c r="E41" s="9"/>
      <c r="F41" s="9"/>
      <c r="G41" s="9"/>
      <c r="H41" s="9"/>
      <c r="I41" s="9"/>
      <c r="J41" s="9"/>
      <c r="K41" s="9"/>
      <c r="L41" s="9"/>
      <c r="M41" s="9"/>
      <c r="N41" s="9"/>
      <c r="O41" s="9"/>
      <c r="P41" s="202">
        <v>2019</v>
      </c>
      <c r="Q41"/>
      <c r="R41"/>
      <c r="AG41" s="35"/>
    </row>
    <row r="42" spans="1:38" s="334" customFormat="1" hidden="1" outlineLevel="1">
      <c r="A42" s="336" t="s">
        <v>607</v>
      </c>
      <c r="B42" s="232"/>
      <c r="C42" s="232"/>
      <c r="D42" s="232"/>
      <c r="E42" s="232"/>
      <c r="F42" s="232"/>
      <c r="G42" s="232"/>
      <c r="H42" s="232"/>
      <c r="I42" s="232"/>
      <c r="J42" s="232"/>
      <c r="K42" s="232"/>
      <c r="L42" s="232"/>
      <c r="M42" s="232"/>
      <c r="N42" s="232"/>
      <c r="O42" s="232"/>
      <c r="P42" s="231">
        <f>S35/SUM(S35:S36)</f>
        <v>0.67903598504544949</v>
      </c>
      <c r="Q42"/>
      <c r="R42"/>
      <c r="AG42" s="35"/>
    </row>
    <row r="43" spans="1:38" s="334" customFormat="1" hidden="1" outlineLevel="1">
      <c r="A43" s="336" t="s">
        <v>91</v>
      </c>
      <c r="B43" s="232"/>
      <c r="C43" s="232"/>
      <c r="D43" s="232"/>
      <c r="E43" s="232"/>
      <c r="F43" s="232"/>
      <c r="G43" s="232"/>
      <c r="H43" s="232"/>
      <c r="I43" s="232"/>
      <c r="J43" s="232"/>
      <c r="K43" s="232"/>
      <c r="L43" s="232"/>
      <c r="M43" s="232"/>
      <c r="N43" s="232"/>
      <c r="O43" s="232"/>
      <c r="P43" s="231">
        <f>S36/SUM(S35:S36)</f>
        <v>0.32096401495455057</v>
      </c>
      <c r="Q43"/>
      <c r="R43"/>
      <c r="AG43" s="35"/>
    </row>
    <row r="44" spans="1:38" s="334" customFormat="1" hidden="1" outlineLevel="1">
      <c r="A44" s="203" t="s">
        <v>123</v>
      </c>
      <c r="B44" s="9"/>
      <c r="C44" s="9"/>
      <c r="D44" s="9"/>
      <c r="E44" s="9"/>
      <c r="F44" s="9"/>
      <c r="G44" s="9"/>
      <c r="H44" s="9"/>
      <c r="I44" s="9"/>
      <c r="J44" s="9"/>
      <c r="K44" s="9"/>
      <c r="L44" s="9"/>
      <c r="M44" s="9"/>
      <c r="N44" s="9"/>
      <c r="O44" s="9"/>
      <c r="P44" s="202">
        <v>2019</v>
      </c>
      <c r="Q44"/>
      <c r="R44"/>
      <c r="AG44" s="35"/>
    </row>
    <row r="45" spans="1:38" s="334" customFormat="1" hidden="1" outlineLevel="1">
      <c r="A45" s="336" t="s">
        <v>607</v>
      </c>
      <c r="B45" s="232"/>
      <c r="C45" s="232"/>
      <c r="D45" s="232"/>
      <c r="E45" s="232"/>
      <c r="F45" s="232"/>
      <c r="G45" s="232"/>
      <c r="H45" s="232"/>
      <c r="I45" s="232"/>
      <c r="J45" s="232"/>
      <c r="K45" s="232"/>
      <c r="L45" s="232"/>
      <c r="M45" s="232"/>
      <c r="N45" s="232"/>
      <c r="O45" s="232"/>
      <c r="P45" s="231">
        <f>Y35/SUM(Y35:Y36)</f>
        <v>0</v>
      </c>
      <c r="Q45"/>
      <c r="R45"/>
      <c r="AG45" s="35"/>
    </row>
    <row r="46" spans="1:38" s="334" customFormat="1" hidden="1" outlineLevel="1">
      <c r="A46" s="336" t="s">
        <v>91</v>
      </c>
      <c r="B46" s="232"/>
      <c r="C46" s="232"/>
      <c r="D46" s="232"/>
      <c r="E46" s="232"/>
      <c r="F46" s="232"/>
      <c r="G46" s="232"/>
      <c r="H46" s="232"/>
      <c r="I46" s="232"/>
      <c r="J46" s="232"/>
      <c r="K46" s="232"/>
      <c r="L46" s="232"/>
      <c r="M46" s="232"/>
      <c r="N46" s="232"/>
      <c r="O46" s="232"/>
      <c r="P46" s="231">
        <f>Y36/SUM(Y35:Y36)</f>
        <v>1</v>
      </c>
      <c r="Q46"/>
      <c r="R46"/>
      <c r="AG46" s="35"/>
    </row>
    <row r="47" spans="1:38" s="334" customFormat="1" hidden="1" outlineLevel="1">
      <c r="AG47" s="35"/>
    </row>
    <row r="48" spans="1:38" collapsed="1">
      <c r="A48" s="185" t="s">
        <v>105</v>
      </c>
      <c r="S48" s="227"/>
      <c r="T48" s="227"/>
      <c r="U48" s="227"/>
      <c r="AG48" s="35"/>
    </row>
    <row r="49" spans="1:62">
      <c r="A49" s="9" t="s">
        <v>90</v>
      </c>
      <c r="B49" s="685" t="s">
        <v>0</v>
      </c>
      <c r="C49" s="2"/>
      <c r="D49" s="2"/>
      <c r="E49" s="2"/>
      <c r="F49" s="2"/>
      <c r="G49" s="2"/>
      <c r="H49" s="2"/>
      <c r="I49" s="2"/>
      <c r="J49" s="2"/>
      <c r="K49" s="2"/>
      <c r="L49" s="2"/>
      <c r="M49" s="2"/>
      <c r="N49" s="2"/>
      <c r="O49" s="2"/>
      <c r="P49" s="2"/>
      <c r="Q49" s="6"/>
      <c r="R49" s="6"/>
      <c r="S49" s="6"/>
      <c r="T49" s="6">
        <v>2019</v>
      </c>
      <c r="U49" s="6">
        <f t="shared" ref="U49:BJ49" si="19">T49+1</f>
        <v>2020</v>
      </c>
      <c r="V49" s="6">
        <f t="shared" si="19"/>
        <v>2021</v>
      </c>
      <c r="W49" s="6">
        <f t="shared" si="19"/>
        <v>2022</v>
      </c>
      <c r="X49" s="6">
        <f t="shared" si="19"/>
        <v>2023</v>
      </c>
      <c r="Y49" s="6">
        <f t="shared" si="19"/>
        <v>2024</v>
      </c>
      <c r="Z49" s="6">
        <f t="shared" si="19"/>
        <v>2025</v>
      </c>
      <c r="AA49" s="6">
        <f t="shared" si="19"/>
        <v>2026</v>
      </c>
      <c r="AB49" s="6">
        <f t="shared" si="19"/>
        <v>2027</v>
      </c>
      <c r="AC49" s="6">
        <f t="shared" si="19"/>
        <v>2028</v>
      </c>
      <c r="AD49" s="6">
        <f t="shared" si="19"/>
        <v>2029</v>
      </c>
      <c r="AE49" s="6">
        <f t="shared" si="19"/>
        <v>2030</v>
      </c>
      <c r="AF49" s="6">
        <f t="shared" si="19"/>
        <v>2031</v>
      </c>
      <c r="AG49" s="6">
        <f t="shared" si="19"/>
        <v>2032</v>
      </c>
      <c r="AH49" s="6">
        <f t="shared" si="19"/>
        <v>2033</v>
      </c>
      <c r="AI49" s="6">
        <f t="shared" si="19"/>
        <v>2034</v>
      </c>
      <c r="AJ49" s="6">
        <f t="shared" si="19"/>
        <v>2035</v>
      </c>
      <c r="AK49" s="6">
        <f t="shared" si="19"/>
        <v>2036</v>
      </c>
      <c r="AL49" s="6">
        <f t="shared" si="19"/>
        <v>2037</v>
      </c>
      <c r="AM49" s="6">
        <f t="shared" si="19"/>
        <v>2038</v>
      </c>
      <c r="AN49" s="6">
        <f t="shared" si="19"/>
        <v>2039</v>
      </c>
      <c r="AO49" s="6">
        <f t="shared" si="19"/>
        <v>2040</v>
      </c>
      <c r="AP49" s="6">
        <f t="shared" si="19"/>
        <v>2041</v>
      </c>
      <c r="AQ49" s="6">
        <f t="shared" si="19"/>
        <v>2042</v>
      </c>
      <c r="AR49" s="6">
        <f t="shared" si="19"/>
        <v>2043</v>
      </c>
      <c r="AS49" s="6">
        <f t="shared" si="19"/>
        <v>2044</v>
      </c>
      <c r="AT49" s="6">
        <f t="shared" si="19"/>
        <v>2045</v>
      </c>
      <c r="AU49" s="6">
        <f t="shared" si="19"/>
        <v>2046</v>
      </c>
      <c r="AV49" s="6">
        <f t="shared" si="19"/>
        <v>2047</v>
      </c>
      <c r="AW49" s="6">
        <f t="shared" si="19"/>
        <v>2048</v>
      </c>
      <c r="AX49" s="6">
        <f t="shared" si="19"/>
        <v>2049</v>
      </c>
      <c r="AY49" s="6">
        <f t="shared" si="19"/>
        <v>2050</v>
      </c>
      <c r="AZ49" s="6">
        <f t="shared" si="19"/>
        <v>2051</v>
      </c>
      <c r="BA49" s="6">
        <f t="shared" si="19"/>
        <v>2052</v>
      </c>
      <c r="BB49" s="6">
        <f t="shared" si="19"/>
        <v>2053</v>
      </c>
      <c r="BC49" s="6">
        <f t="shared" si="19"/>
        <v>2054</v>
      </c>
      <c r="BD49" s="6">
        <f t="shared" si="19"/>
        <v>2055</v>
      </c>
      <c r="BE49" s="6">
        <f t="shared" si="19"/>
        <v>2056</v>
      </c>
      <c r="BF49" s="6">
        <f t="shared" si="19"/>
        <v>2057</v>
      </c>
      <c r="BG49" s="6">
        <f t="shared" si="19"/>
        <v>2058</v>
      </c>
      <c r="BH49" s="6">
        <f t="shared" si="19"/>
        <v>2059</v>
      </c>
      <c r="BI49" s="6">
        <f t="shared" si="19"/>
        <v>2060</v>
      </c>
      <c r="BJ49" s="6">
        <f t="shared" si="19"/>
        <v>2061</v>
      </c>
    </row>
    <row r="50" spans="1:62">
      <c r="A50" s="174" t="s">
        <v>609</v>
      </c>
      <c r="B50" s="189"/>
      <c r="C50" s="189"/>
      <c r="D50" s="189"/>
      <c r="E50" s="189"/>
      <c r="F50" s="189"/>
      <c r="G50" s="189"/>
      <c r="H50" s="189"/>
      <c r="I50" s="189"/>
      <c r="J50" s="189"/>
      <c r="K50" s="189"/>
      <c r="L50" s="189"/>
      <c r="M50" s="189"/>
      <c r="N50" s="189"/>
      <c r="O50" s="189"/>
      <c r="P50" s="189"/>
      <c r="Q50" s="189"/>
      <c r="R50" s="189"/>
      <c r="S50" s="190"/>
      <c r="T50" s="191">
        <f>$S$34</f>
        <v>1</v>
      </c>
      <c r="U50" s="192">
        <f>T50+($AE50-$T50)/($AE$49-$T$49)</f>
        <v>0.99290909090909085</v>
      </c>
      <c r="V50" s="188">
        <f t="shared" ref="V50:AD50" si="20">U50+($AE50-$T50)/($AE$49-$T$49)</f>
        <v>0.9858181818181817</v>
      </c>
      <c r="W50" s="188">
        <f t="shared" si="20"/>
        <v>0.97872727272727256</v>
      </c>
      <c r="X50" s="188">
        <f t="shared" si="20"/>
        <v>0.97163636363636341</v>
      </c>
      <c r="Y50" s="188">
        <f t="shared" si="20"/>
        <v>0.96454545454545426</v>
      </c>
      <c r="Z50" s="188">
        <f t="shared" si="20"/>
        <v>0.95745454545454511</v>
      </c>
      <c r="AA50" s="188">
        <f t="shared" si="20"/>
        <v>0.95036363636363597</v>
      </c>
      <c r="AB50" s="188">
        <f t="shared" si="20"/>
        <v>0.94327272727272682</v>
      </c>
      <c r="AC50" s="188">
        <f t="shared" si="20"/>
        <v>0.93618181818181767</v>
      </c>
      <c r="AD50" s="188">
        <f t="shared" si="20"/>
        <v>0.92909090909090852</v>
      </c>
      <c r="AE50" s="191">
        <f>$T$34</f>
        <v>0.92199999999999993</v>
      </c>
      <c r="AF50" s="188">
        <f>AE50+($AY50-$AE50)/($AY$49-$AE$49)</f>
        <v>0.90934999999999988</v>
      </c>
      <c r="AG50" s="188">
        <f t="shared" ref="AG50:AX53" si="21">AF50+($AY50-$AE50)/($AY$49-$AE$49)</f>
        <v>0.89669999999999983</v>
      </c>
      <c r="AH50" s="188">
        <f t="shared" si="21"/>
        <v>0.88404999999999978</v>
      </c>
      <c r="AI50" s="188">
        <f t="shared" si="21"/>
        <v>0.87139999999999973</v>
      </c>
      <c r="AJ50" s="188">
        <f t="shared" si="21"/>
        <v>0.85874999999999968</v>
      </c>
      <c r="AK50" s="188">
        <f t="shared" si="21"/>
        <v>0.84609999999999963</v>
      </c>
      <c r="AL50" s="188">
        <f t="shared" si="21"/>
        <v>0.83344999999999958</v>
      </c>
      <c r="AM50" s="188">
        <f t="shared" si="21"/>
        <v>0.82079999999999953</v>
      </c>
      <c r="AN50" s="188">
        <f t="shared" si="21"/>
        <v>0.80814999999999948</v>
      </c>
      <c r="AO50" s="188">
        <f t="shared" si="21"/>
        <v>0.79549999999999943</v>
      </c>
      <c r="AP50" s="188">
        <f t="shared" si="21"/>
        <v>0.78284999999999938</v>
      </c>
      <c r="AQ50" s="188">
        <f t="shared" si="21"/>
        <v>0.77019999999999933</v>
      </c>
      <c r="AR50" s="188">
        <f t="shared" si="21"/>
        <v>0.75754999999999928</v>
      </c>
      <c r="AS50" s="188">
        <f t="shared" si="21"/>
        <v>0.74489999999999923</v>
      </c>
      <c r="AT50" s="188">
        <f t="shared" si="21"/>
        <v>0.73224999999999918</v>
      </c>
      <c r="AU50" s="188">
        <f t="shared" si="21"/>
        <v>0.71959999999999913</v>
      </c>
      <c r="AV50" s="188">
        <f t="shared" si="21"/>
        <v>0.70694999999999908</v>
      </c>
      <c r="AW50" s="188">
        <f t="shared" si="21"/>
        <v>0.69429999999999903</v>
      </c>
      <c r="AX50" s="188">
        <f t="shared" si="21"/>
        <v>0.68164999999999898</v>
      </c>
      <c r="AY50" s="191">
        <f>$U$34</f>
        <v>0.66900000000000004</v>
      </c>
      <c r="AZ50" s="188">
        <f>AY50</f>
        <v>0.66900000000000004</v>
      </c>
      <c r="BA50" s="188">
        <f t="shared" ref="BA50:BJ53" si="22">AZ50</f>
        <v>0.66900000000000004</v>
      </c>
      <c r="BB50" s="188">
        <f t="shared" si="22"/>
        <v>0.66900000000000004</v>
      </c>
      <c r="BC50" s="188">
        <f t="shared" si="22"/>
        <v>0.66900000000000004</v>
      </c>
      <c r="BD50" s="188">
        <f t="shared" si="22"/>
        <v>0.66900000000000004</v>
      </c>
      <c r="BE50" s="188">
        <f t="shared" si="22"/>
        <v>0.66900000000000004</v>
      </c>
      <c r="BF50" s="188">
        <f t="shared" si="22"/>
        <v>0.66900000000000004</v>
      </c>
      <c r="BG50" s="188">
        <f t="shared" si="22"/>
        <v>0.66900000000000004</v>
      </c>
      <c r="BH50" s="188">
        <f t="shared" si="22"/>
        <v>0.66900000000000004</v>
      </c>
      <c r="BI50" s="188">
        <f t="shared" si="22"/>
        <v>0.66900000000000004</v>
      </c>
      <c r="BJ50" s="188">
        <f t="shared" si="22"/>
        <v>0.66900000000000004</v>
      </c>
    </row>
    <row r="51" spans="1:62" s="227" customFormat="1">
      <c r="A51" s="225" t="s">
        <v>607</v>
      </c>
      <c r="B51" s="220"/>
      <c r="C51" s="220"/>
      <c r="D51" s="220"/>
      <c r="E51" s="220"/>
      <c r="F51" s="220"/>
      <c r="G51" s="220"/>
      <c r="H51" s="220"/>
      <c r="I51" s="220"/>
      <c r="J51" s="220"/>
      <c r="K51" s="220"/>
      <c r="L51" s="220"/>
      <c r="M51" s="220"/>
      <c r="N51" s="220"/>
      <c r="O51" s="220"/>
      <c r="P51" s="220"/>
      <c r="Q51" s="220"/>
      <c r="R51" s="220"/>
      <c r="S51" s="221"/>
      <c r="T51" s="222">
        <f>$S$35</f>
        <v>0.67903598504544949</v>
      </c>
      <c r="U51" s="223">
        <f t="shared" ref="U51:AD53" si="23">T51+($AE51-$T51)/($AE$49-$T$49)</f>
        <v>0.67621453185949953</v>
      </c>
      <c r="V51" s="224">
        <f t="shared" si="23"/>
        <v>0.67339307867354958</v>
      </c>
      <c r="W51" s="224">
        <f t="shared" si="23"/>
        <v>0.67057162548759963</v>
      </c>
      <c r="X51" s="224">
        <f t="shared" si="23"/>
        <v>0.66775017230164968</v>
      </c>
      <c r="Y51" s="224">
        <f t="shared" si="23"/>
        <v>0.66492871911569973</v>
      </c>
      <c r="Z51" s="224">
        <f t="shared" si="23"/>
        <v>0.66210726592974978</v>
      </c>
      <c r="AA51" s="224">
        <f t="shared" si="23"/>
        <v>0.65928581274379983</v>
      </c>
      <c r="AB51" s="224">
        <f t="shared" si="23"/>
        <v>0.65646435955784987</v>
      </c>
      <c r="AC51" s="224">
        <f t="shared" si="23"/>
        <v>0.65364290637189992</v>
      </c>
      <c r="AD51" s="224">
        <f t="shared" si="23"/>
        <v>0.65082145318594997</v>
      </c>
      <c r="AE51" s="222">
        <f>$T$35</f>
        <v>0.64799999999999991</v>
      </c>
      <c r="AF51" s="224">
        <f t="shared" ref="AF51:AU53" si="24">AE51+($AY51-$AE51)/($AY$49-$AE$49)</f>
        <v>0.64039999999999986</v>
      </c>
      <c r="AG51" s="224">
        <f t="shared" si="24"/>
        <v>0.63279999999999981</v>
      </c>
      <c r="AH51" s="224">
        <f t="shared" si="24"/>
        <v>0.62519999999999976</v>
      </c>
      <c r="AI51" s="224">
        <f t="shared" si="24"/>
        <v>0.6175999999999997</v>
      </c>
      <c r="AJ51" s="224">
        <f t="shared" si="24"/>
        <v>0.60999999999999965</v>
      </c>
      <c r="AK51" s="224">
        <f t="shared" si="24"/>
        <v>0.6023999999999996</v>
      </c>
      <c r="AL51" s="224">
        <f t="shared" si="24"/>
        <v>0.59479999999999955</v>
      </c>
      <c r="AM51" s="224">
        <f t="shared" si="24"/>
        <v>0.5871999999999995</v>
      </c>
      <c r="AN51" s="224">
        <f t="shared" si="24"/>
        <v>0.57959999999999945</v>
      </c>
      <c r="AO51" s="224">
        <f t="shared" si="24"/>
        <v>0.5719999999999994</v>
      </c>
      <c r="AP51" s="224">
        <f t="shared" si="24"/>
        <v>0.56439999999999935</v>
      </c>
      <c r="AQ51" s="224">
        <f t="shared" si="24"/>
        <v>0.5567999999999993</v>
      </c>
      <c r="AR51" s="224">
        <f t="shared" si="24"/>
        <v>0.54919999999999924</v>
      </c>
      <c r="AS51" s="224">
        <f t="shared" si="24"/>
        <v>0.54159999999999919</v>
      </c>
      <c r="AT51" s="224">
        <f t="shared" si="24"/>
        <v>0.53399999999999914</v>
      </c>
      <c r="AU51" s="224">
        <f t="shared" si="24"/>
        <v>0.52639999999999909</v>
      </c>
      <c r="AV51" s="224">
        <f t="shared" si="21"/>
        <v>0.51879999999999904</v>
      </c>
      <c r="AW51" s="224">
        <f t="shared" si="21"/>
        <v>0.51119999999999899</v>
      </c>
      <c r="AX51" s="224">
        <f t="shared" si="21"/>
        <v>0.50359999999999894</v>
      </c>
      <c r="AY51" s="222">
        <f>$U$35</f>
        <v>0.496</v>
      </c>
      <c r="AZ51" s="224">
        <f t="shared" ref="AZ51:BJ52" si="25">AY51</f>
        <v>0.496</v>
      </c>
      <c r="BA51" s="224">
        <f t="shared" si="25"/>
        <v>0.496</v>
      </c>
      <c r="BB51" s="224">
        <f t="shared" si="25"/>
        <v>0.496</v>
      </c>
      <c r="BC51" s="224">
        <f t="shared" si="25"/>
        <v>0.496</v>
      </c>
      <c r="BD51" s="224">
        <f t="shared" si="25"/>
        <v>0.496</v>
      </c>
      <c r="BE51" s="224">
        <f t="shared" si="25"/>
        <v>0.496</v>
      </c>
      <c r="BF51" s="224">
        <f t="shared" si="25"/>
        <v>0.496</v>
      </c>
      <c r="BG51" s="224">
        <f t="shared" si="25"/>
        <v>0.496</v>
      </c>
      <c r="BH51" s="224">
        <f t="shared" si="25"/>
        <v>0.496</v>
      </c>
      <c r="BI51" s="224">
        <f t="shared" si="25"/>
        <v>0.496</v>
      </c>
      <c r="BJ51" s="224">
        <f t="shared" si="25"/>
        <v>0.496</v>
      </c>
    </row>
    <row r="52" spans="1:62" s="227" customFormat="1">
      <c r="A52" s="225" t="s">
        <v>91</v>
      </c>
      <c r="B52" s="220"/>
      <c r="C52" s="220"/>
      <c r="D52" s="220"/>
      <c r="E52" s="220"/>
      <c r="F52" s="220"/>
      <c r="G52" s="220"/>
      <c r="H52" s="220"/>
      <c r="I52" s="220"/>
      <c r="J52" s="220"/>
      <c r="K52" s="220"/>
      <c r="L52" s="220"/>
      <c r="M52" s="220"/>
      <c r="N52" s="220"/>
      <c r="O52" s="220"/>
      <c r="P52" s="220"/>
      <c r="Q52" s="220"/>
      <c r="R52" s="220"/>
      <c r="S52" s="221"/>
      <c r="T52" s="222">
        <f>$S$36</f>
        <v>0.32096401495455057</v>
      </c>
      <c r="U52" s="223">
        <f t="shared" si="23"/>
        <v>0.31669455904959143</v>
      </c>
      <c r="V52" s="224">
        <f t="shared" si="23"/>
        <v>0.31242510314463229</v>
      </c>
      <c r="W52" s="224">
        <f t="shared" si="23"/>
        <v>0.30815564723967315</v>
      </c>
      <c r="X52" s="224">
        <f t="shared" si="23"/>
        <v>0.30388619133471401</v>
      </c>
      <c r="Y52" s="224">
        <f t="shared" si="23"/>
        <v>0.29961673542975487</v>
      </c>
      <c r="Z52" s="224">
        <f t="shared" si="23"/>
        <v>0.29534727952479572</v>
      </c>
      <c r="AA52" s="224">
        <f t="shared" si="23"/>
        <v>0.29107782361983658</v>
      </c>
      <c r="AB52" s="224">
        <f t="shared" si="23"/>
        <v>0.28680836771487744</v>
      </c>
      <c r="AC52" s="224">
        <f t="shared" si="23"/>
        <v>0.2825389118099183</v>
      </c>
      <c r="AD52" s="224">
        <f t="shared" si="23"/>
        <v>0.27826945590495916</v>
      </c>
      <c r="AE52" s="222">
        <f>$T$36</f>
        <v>0.27400000000000002</v>
      </c>
      <c r="AF52" s="224">
        <f t="shared" si="24"/>
        <v>0.26895000000000002</v>
      </c>
      <c r="AG52" s="224">
        <f t="shared" si="21"/>
        <v>0.26390000000000002</v>
      </c>
      <c r="AH52" s="224">
        <f t="shared" si="21"/>
        <v>0.25885000000000002</v>
      </c>
      <c r="AI52" s="224">
        <f t="shared" si="21"/>
        <v>0.25380000000000003</v>
      </c>
      <c r="AJ52" s="224">
        <f t="shared" si="21"/>
        <v>0.24875000000000003</v>
      </c>
      <c r="AK52" s="224">
        <f t="shared" si="21"/>
        <v>0.24370000000000003</v>
      </c>
      <c r="AL52" s="224">
        <f t="shared" si="21"/>
        <v>0.23865000000000003</v>
      </c>
      <c r="AM52" s="224">
        <f t="shared" si="21"/>
        <v>0.23360000000000003</v>
      </c>
      <c r="AN52" s="224">
        <f t="shared" si="21"/>
        <v>0.22855000000000003</v>
      </c>
      <c r="AO52" s="224">
        <f t="shared" si="21"/>
        <v>0.22350000000000003</v>
      </c>
      <c r="AP52" s="224">
        <f t="shared" si="21"/>
        <v>0.21845000000000003</v>
      </c>
      <c r="AQ52" s="224">
        <f t="shared" si="21"/>
        <v>0.21340000000000003</v>
      </c>
      <c r="AR52" s="224">
        <f t="shared" si="21"/>
        <v>0.20835000000000004</v>
      </c>
      <c r="AS52" s="224">
        <f t="shared" si="21"/>
        <v>0.20330000000000004</v>
      </c>
      <c r="AT52" s="224">
        <f t="shared" si="21"/>
        <v>0.19825000000000004</v>
      </c>
      <c r="AU52" s="224">
        <f t="shared" si="21"/>
        <v>0.19320000000000004</v>
      </c>
      <c r="AV52" s="224">
        <f t="shared" si="21"/>
        <v>0.18815000000000004</v>
      </c>
      <c r="AW52" s="224">
        <f t="shared" si="21"/>
        <v>0.18310000000000004</v>
      </c>
      <c r="AX52" s="224">
        <f t="shared" si="21"/>
        <v>0.17805000000000004</v>
      </c>
      <c r="AY52" s="222">
        <f>$U$36</f>
        <v>0.17299999999999999</v>
      </c>
      <c r="AZ52" s="224">
        <f t="shared" si="25"/>
        <v>0.17299999999999999</v>
      </c>
      <c r="BA52" s="224">
        <f t="shared" si="25"/>
        <v>0.17299999999999999</v>
      </c>
      <c r="BB52" s="224">
        <f t="shared" si="25"/>
        <v>0.17299999999999999</v>
      </c>
      <c r="BC52" s="224">
        <f t="shared" si="25"/>
        <v>0.17299999999999999</v>
      </c>
      <c r="BD52" s="224">
        <f t="shared" si="25"/>
        <v>0.17299999999999999</v>
      </c>
      <c r="BE52" s="224">
        <f t="shared" si="25"/>
        <v>0.17299999999999999</v>
      </c>
      <c r="BF52" s="224">
        <f t="shared" si="25"/>
        <v>0.17299999999999999</v>
      </c>
      <c r="BG52" s="224">
        <f t="shared" si="25"/>
        <v>0.17299999999999999</v>
      </c>
      <c r="BH52" s="224">
        <f t="shared" si="25"/>
        <v>0.17299999999999999</v>
      </c>
      <c r="BI52" s="224">
        <f t="shared" si="25"/>
        <v>0.17299999999999999</v>
      </c>
      <c r="BJ52" s="224">
        <f t="shared" si="25"/>
        <v>0.17299999999999999</v>
      </c>
    </row>
    <row r="53" spans="1:62">
      <c r="A53" s="174" t="s">
        <v>95</v>
      </c>
      <c r="B53" s="189"/>
      <c r="C53" s="189"/>
      <c r="D53" s="189"/>
      <c r="E53" s="189"/>
      <c r="F53" s="189"/>
      <c r="G53" s="189"/>
      <c r="H53" s="189"/>
      <c r="I53" s="189"/>
      <c r="J53" s="189"/>
      <c r="K53" s="189"/>
      <c r="L53" s="189"/>
      <c r="M53" s="189"/>
      <c r="N53" s="189"/>
      <c r="O53" s="189"/>
      <c r="P53" s="189"/>
      <c r="Q53" s="189"/>
      <c r="R53" s="189"/>
      <c r="S53" s="190"/>
      <c r="T53" s="191">
        <f>$S$37</f>
        <v>0</v>
      </c>
      <c r="U53" s="192">
        <f t="shared" si="23"/>
        <v>7.0909090909090913E-3</v>
      </c>
      <c r="V53" s="188">
        <f t="shared" si="23"/>
        <v>1.4181818181818183E-2</v>
      </c>
      <c r="W53" s="188">
        <f t="shared" si="23"/>
        <v>2.1272727272727273E-2</v>
      </c>
      <c r="X53" s="188">
        <f t="shared" si="23"/>
        <v>2.8363636363636365E-2</v>
      </c>
      <c r="Y53" s="188">
        <f t="shared" si="23"/>
        <v>3.5454545454545454E-2</v>
      </c>
      <c r="Z53" s="188">
        <f t="shared" si="23"/>
        <v>4.2545454545454546E-2</v>
      </c>
      <c r="AA53" s="188">
        <f t="shared" si="23"/>
        <v>4.9636363636363638E-2</v>
      </c>
      <c r="AB53" s="188">
        <f t="shared" si="23"/>
        <v>5.672727272727273E-2</v>
      </c>
      <c r="AC53" s="188">
        <f t="shared" si="23"/>
        <v>6.3818181818181816E-2</v>
      </c>
      <c r="AD53" s="188">
        <f t="shared" si="23"/>
        <v>7.0909090909090908E-2</v>
      </c>
      <c r="AE53" s="191">
        <f>$T$37</f>
        <v>7.8E-2</v>
      </c>
      <c r="AF53" s="188">
        <f t="shared" si="24"/>
        <v>9.0649999999999994E-2</v>
      </c>
      <c r="AG53" s="188">
        <f t="shared" si="21"/>
        <v>0.10329999999999999</v>
      </c>
      <c r="AH53" s="188">
        <f t="shared" si="21"/>
        <v>0.11594999999999998</v>
      </c>
      <c r="AI53" s="188">
        <f t="shared" si="21"/>
        <v>0.12859999999999999</v>
      </c>
      <c r="AJ53" s="188">
        <f t="shared" si="21"/>
        <v>0.14124999999999999</v>
      </c>
      <c r="AK53" s="188">
        <f t="shared" si="21"/>
        <v>0.15389999999999998</v>
      </c>
      <c r="AL53" s="188">
        <f t="shared" si="21"/>
        <v>0.16654999999999998</v>
      </c>
      <c r="AM53" s="188">
        <f t="shared" si="21"/>
        <v>0.17919999999999997</v>
      </c>
      <c r="AN53" s="188">
        <f t="shared" si="21"/>
        <v>0.19184999999999997</v>
      </c>
      <c r="AO53" s="188">
        <f t="shared" si="21"/>
        <v>0.20449999999999996</v>
      </c>
      <c r="AP53" s="188">
        <f t="shared" si="21"/>
        <v>0.21714999999999995</v>
      </c>
      <c r="AQ53" s="188">
        <f t="shared" si="21"/>
        <v>0.22979999999999995</v>
      </c>
      <c r="AR53" s="188">
        <f t="shared" si="21"/>
        <v>0.24244999999999994</v>
      </c>
      <c r="AS53" s="188">
        <f t="shared" si="21"/>
        <v>0.25509999999999994</v>
      </c>
      <c r="AT53" s="188">
        <f t="shared" si="21"/>
        <v>0.26774999999999993</v>
      </c>
      <c r="AU53" s="188">
        <f t="shared" si="21"/>
        <v>0.28039999999999993</v>
      </c>
      <c r="AV53" s="188">
        <f t="shared" si="21"/>
        <v>0.29304999999999992</v>
      </c>
      <c r="AW53" s="188">
        <f t="shared" si="21"/>
        <v>0.30569999999999992</v>
      </c>
      <c r="AX53" s="188">
        <f t="shared" si="21"/>
        <v>0.31834999999999991</v>
      </c>
      <c r="AY53" s="191">
        <f>$U$37</f>
        <v>0.33100000000000002</v>
      </c>
      <c r="AZ53" s="188">
        <f>AY53</f>
        <v>0.33100000000000002</v>
      </c>
      <c r="BA53" s="188">
        <f t="shared" si="22"/>
        <v>0.33100000000000002</v>
      </c>
      <c r="BB53" s="188">
        <f t="shared" si="22"/>
        <v>0.33100000000000002</v>
      </c>
      <c r="BC53" s="188">
        <f t="shared" si="22"/>
        <v>0.33100000000000002</v>
      </c>
      <c r="BD53" s="188">
        <f t="shared" si="22"/>
        <v>0.33100000000000002</v>
      </c>
      <c r="BE53" s="188">
        <f t="shared" si="22"/>
        <v>0.33100000000000002</v>
      </c>
      <c r="BF53" s="188">
        <f t="shared" si="22"/>
        <v>0.33100000000000002</v>
      </c>
      <c r="BG53" s="188">
        <f t="shared" si="22"/>
        <v>0.33100000000000002</v>
      </c>
      <c r="BH53" s="188">
        <f t="shared" si="22"/>
        <v>0.33100000000000002</v>
      </c>
      <c r="BI53" s="188">
        <f t="shared" si="22"/>
        <v>0.33100000000000002</v>
      </c>
      <c r="BJ53" s="188">
        <f t="shared" si="22"/>
        <v>0.33100000000000002</v>
      </c>
    </row>
    <row r="54" spans="1:62">
      <c r="A54" s="193"/>
      <c r="B54" s="194"/>
      <c r="C54" s="194"/>
      <c r="D54" s="194"/>
      <c r="E54" s="194"/>
      <c r="F54" s="194"/>
      <c r="G54" s="194"/>
      <c r="H54" s="194"/>
      <c r="I54" s="194"/>
      <c r="J54" s="194"/>
      <c r="K54" s="194"/>
      <c r="L54" s="194"/>
      <c r="M54" s="194"/>
      <c r="N54" s="194"/>
      <c r="O54" s="194"/>
      <c r="P54" s="194"/>
      <c r="Q54" s="194"/>
      <c r="R54" s="194"/>
      <c r="S54" s="194"/>
      <c r="T54" s="194" t="b">
        <f>ROUND(SUM(T50,T53),10)=100%</f>
        <v>1</v>
      </c>
      <c r="U54" s="194" t="b">
        <f t="shared" ref="U54:BI54" si="26">ROUND(SUM(U50,U53),10)=100%</f>
        <v>1</v>
      </c>
      <c r="V54" s="194" t="b">
        <f t="shared" si="26"/>
        <v>1</v>
      </c>
      <c r="W54" s="194" t="b">
        <f t="shared" si="26"/>
        <v>1</v>
      </c>
      <c r="X54" s="194" t="b">
        <f t="shared" si="26"/>
        <v>1</v>
      </c>
      <c r="Y54" s="194" t="b">
        <f t="shared" si="26"/>
        <v>1</v>
      </c>
      <c r="Z54" s="194" t="b">
        <f t="shared" si="26"/>
        <v>1</v>
      </c>
      <c r="AA54" s="194" t="b">
        <f t="shared" si="26"/>
        <v>1</v>
      </c>
      <c r="AB54" s="194" t="b">
        <f t="shared" si="26"/>
        <v>1</v>
      </c>
      <c r="AC54" s="194" t="b">
        <f t="shared" si="26"/>
        <v>1</v>
      </c>
      <c r="AD54" s="194" t="b">
        <f t="shared" si="26"/>
        <v>1</v>
      </c>
      <c r="AE54" s="194" t="b">
        <f t="shared" si="26"/>
        <v>1</v>
      </c>
      <c r="AF54" s="194" t="b">
        <f t="shared" si="26"/>
        <v>1</v>
      </c>
      <c r="AG54" s="194" t="b">
        <f t="shared" si="26"/>
        <v>1</v>
      </c>
      <c r="AH54" s="194" t="b">
        <f t="shared" si="26"/>
        <v>1</v>
      </c>
      <c r="AI54" s="194" t="b">
        <f t="shared" si="26"/>
        <v>1</v>
      </c>
      <c r="AJ54" s="194" t="b">
        <f t="shared" si="26"/>
        <v>1</v>
      </c>
      <c r="AK54" s="194" t="b">
        <f t="shared" si="26"/>
        <v>1</v>
      </c>
      <c r="AL54" s="194" t="b">
        <f t="shared" si="26"/>
        <v>1</v>
      </c>
      <c r="AM54" s="194" t="b">
        <f t="shared" si="26"/>
        <v>1</v>
      </c>
      <c r="AN54" s="194" t="b">
        <f t="shared" si="26"/>
        <v>1</v>
      </c>
      <c r="AO54" s="194" t="b">
        <f t="shared" si="26"/>
        <v>1</v>
      </c>
      <c r="AP54" s="194" t="b">
        <f t="shared" si="26"/>
        <v>1</v>
      </c>
      <c r="AQ54" s="194" t="b">
        <f t="shared" si="26"/>
        <v>1</v>
      </c>
      <c r="AR54" s="194" t="b">
        <f t="shared" si="26"/>
        <v>1</v>
      </c>
      <c r="AS54" s="194" t="b">
        <f t="shared" si="26"/>
        <v>1</v>
      </c>
      <c r="AT54" s="194" t="b">
        <f t="shared" si="26"/>
        <v>1</v>
      </c>
      <c r="AU54" s="194" t="b">
        <f t="shared" si="26"/>
        <v>1</v>
      </c>
      <c r="AV54" s="194" t="b">
        <f t="shared" si="26"/>
        <v>1</v>
      </c>
      <c r="AW54" s="194" t="b">
        <f t="shared" si="26"/>
        <v>1</v>
      </c>
      <c r="AX54" s="194" t="b">
        <f t="shared" si="26"/>
        <v>1</v>
      </c>
      <c r="AY54" s="194" t="b">
        <f t="shared" si="26"/>
        <v>1</v>
      </c>
      <c r="AZ54" s="194" t="b">
        <f t="shared" si="26"/>
        <v>1</v>
      </c>
      <c r="BA54" s="194" t="b">
        <f t="shared" si="26"/>
        <v>1</v>
      </c>
      <c r="BB54" s="194" t="b">
        <f t="shared" si="26"/>
        <v>1</v>
      </c>
      <c r="BC54" s="194" t="b">
        <f t="shared" si="26"/>
        <v>1</v>
      </c>
      <c r="BD54" s="194" t="b">
        <f t="shared" si="26"/>
        <v>1</v>
      </c>
      <c r="BE54" s="194" t="b">
        <f t="shared" si="26"/>
        <v>1</v>
      </c>
      <c r="BF54" s="194" t="b">
        <f t="shared" si="26"/>
        <v>1</v>
      </c>
      <c r="BG54" s="194" t="b">
        <f t="shared" si="26"/>
        <v>1</v>
      </c>
      <c r="BH54" s="194" t="b">
        <f t="shared" si="26"/>
        <v>1</v>
      </c>
      <c r="BI54" s="194" t="b">
        <f t="shared" si="26"/>
        <v>1</v>
      </c>
      <c r="BJ54" s="194" t="b">
        <f t="shared" ref="BJ54" si="27">ROUND(SUM(BJ50,BJ53),10)=100%</f>
        <v>1</v>
      </c>
    </row>
    <row r="55" spans="1:62">
      <c r="A55" s="185" t="s">
        <v>106</v>
      </c>
      <c r="AG55" s="35"/>
      <c r="BJ55" s="613"/>
    </row>
    <row r="56" spans="1:62">
      <c r="A56" s="9" t="s">
        <v>90</v>
      </c>
      <c r="B56" s="685" t="s">
        <v>0</v>
      </c>
      <c r="C56" s="2"/>
      <c r="D56" s="2"/>
      <c r="E56" s="2"/>
      <c r="F56" s="2"/>
      <c r="G56" s="2"/>
      <c r="H56" s="2"/>
      <c r="I56" s="2"/>
      <c r="J56" s="2"/>
      <c r="K56" s="2"/>
      <c r="L56" s="2"/>
      <c r="M56" s="2"/>
      <c r="N56" s="2"/>
      <c r="O56" s="2"/>
      <c r="P56" s="2"/>
      <c r="Q56" s="6"/>
      <c r="R56" s="6"/>
      <c r="S56" s="6"/>
      <c r="T56" s="6">
        <v>2019</v>
      </c>
      <c r="U56" s="6">
        <f t="shared" ref="U56:BJ56" si="28">T56+1</f>
        <v>2020</v>
      </c>
      <c r="V56" s="6">
        <f t="shared" si="28"/>
        <v>2021</v>
      </c>
      <c r="W56" s="6">
        <f t="shared" si="28"/>
        <v>2022</v>
      </c>
      <c r="X56" s="6">
        <f t="shared" si="28"/>
        <v>2023</v>
      </c>
      <c r="Y56" s="6">
        <f t="shared" si="28"/>
        <v>2024</v>
      </c>
      <c r="Z56" s="6">
        <f t="shared" si="28"/>
        <v>2025</v>
      </c>
      <c r="AA56" s="6">
        <f t="shared" si="28"/>
        <v>2026</v>
      </c>
      <c r="AB56" s="6">
        <f t="shared" si="28"/>
        <v>2027</v>
      </c>
      <c r="AC56" s="6">
        <f t="shared" si="28"/>
        <v>2028</v>
      </c>
      <c r="AD56" s="6">
        <f t="shared" si="28"/>
        <v>2029</v>
      </c>
      <c r="AE56" s="6">
        <f t="shared" si="28"/>
        <v>2030</v>
      </c>
      <c r="AF56" s="6">
        <f t="shared" si="28"/>
        <v>2031</v>
      </c>
      <c r="AG56" s="6">
        <f t="shared" si="28"/>
        <v>2032</v>
      </c>
      <c r="AH56" s="6">
        <f t="shared" si="28"/>
        <v>2033</v>
      </c>
      <c r="AI56" s="6">
        <f t="shared" si="28"/>
        <v>2034</v>
      </c>
      <c r="AJ56" s="6">
        <f t="shared" si="28"/>
        <v>2035</v>
      </c>
      <c r="AK56" s="6">
        <f t="shared" si="28"/>
        <v>2036</v>
      </c>
      <c r="AL56" s="6">
        <f t="shared" si="28"/>
        <v>2037</v>
      </c>
      <c r="AM56" s="6">
        <f t="shared" si="28"/>
        <v>2038</v>
      </c>
      <c r="AN56" s="6">
        <f t="shared" si="28"/>
        <v>2039</v>
      </c>
      <c r="AO56" s="6">
        <f t="shared" si="28"/>
        <v>2040</v>
      </c>
      <c r="AP56" s="6">
        <f t="shared" si="28"/>
        <v>2041</v>
      </c>
      <c r="AQ56" s="6">
        <f t="shared" si="28"/>
        <v>2042</v>
      </c>
      <c r="AR56" s="6">
        <f t="shared" si="28"/>
        <v>2043</v>
      </c>
      <c r="AS56" s="6">
        <f t="shared" si="28"/>
        <v>2044</v>
      </c>
      <c r="AT56" s="6">
        <f t="shared" si="28"/>
        <v>2045</v>
      </c>
      <c r="AU56" s="6">
        <f t="shared" si="28"/>
        <v>2046</v>
      </c>
      <c r="AV56" s="6">
        <f t="shared" si="28"/>
        <v>2047</v>
      </c>
      <c r="AW56" s="6">
        <f t="shared" si="28"/>
        <v>2048</v>
      </c>
      <c r="AX56" s="6">
        <f t="shared" si="28"/>
        <v>2049</v>
      </c>
      <c r="AY56" s="6">
        <f t="shared" si="28"/>
        <v>2050</v>
      </c>
      <c r="AZ56" s="6">
        <f t="shared" si="28"/>
        <v>2051</v>
      </c>
      <c r="BA56" s="6">
        <f t="shared" si="28"/>
        <v>2052</v>
      </c>
      <c r="BB56" s="6">
        <f t="shared" si="28"/>
        <v>2053</v>
      </c>
      <c r="BC56" s="6">
        <f t="shared" si="28"/>
        <v>2054</v>
      </c>
      <c r="BD56" s="6">
        <f t="shared" si="28"/>
        <v>2055</v>
      </c>
      <c r="BE56" s="6">
        <f t="shared" si="28"/>
        <v>2056</v>
      </c>
      <c r="BF56" s="6">
        <f t="shared" si="28"/>
        <v>2057</v>
      </c>
      <c r="BG56" s="6">
        <f t="shared" si="28"/>
        <v>2058</v>
      </c>
      <c r="BH56" s="6">
        <f t="shared" si="28"/>
        <v>2059</v>
      </c>
      <c r="BI56" s="6">
        <f t="shared" si="28"/>
        <v>2060</v>
      </c>
      <c r="BJ56" s="6">
        <f t="shared" si="28"/>
        <v>2061</v>
      </c>
    </row>
    <row r="57" spans="1:62">
      <c r="A57" s="174" t="s">
        <v>107</v>
      </c>
      <c r="B57" s="189"/>
      <c r="C57" s="189"/>
      <c r="D57" s="189"/>
      <c r="E57" s="189"/>
      <c r="F57" s="189"/>
      <c r="G57" s="189"/>
      <c r="H57" s="189"/>
      <c r="I57" s="189"/>
      <c r="J57" s="189"/>
      <c r="K57" s="189"/>
      <c r="L57" s="189"/>
      <c r="M57" s="189"/>
      <c r="N57" s="189"/>
      <c r="O57" s="189"/>
      <c r="P57" s="189"/>
      <c r="Q57" s="189"/>
      <c r="R57" s="189"/>
      <c r="S57" s="190"/>
      <c r="T57" s="191">
        <f>$Y$34</f>
        <v>1</v>
      </c>
      <c r="U57" s="192">
        <f>T57+($AE57-$T57)/($AE$56-$T$56)</f>
        <v>1</v>
      </c>
      <c r="V57" s="188">
        <f t="shared" ref="V57:AD57" si="29">U57+($AE57-$T57)/($AE$56-$T$56)</f>
        <v>1</v>
      </c>
      <c r="W57" s="188">
        <f t="shared" si="29"/>
        <v>1</v>
      </c>
      <c r="X57" s="188">
        <f t="shared" si="29"/>
        <v>1</v>
      </c>
      <c r="Y57" s="188">
        <f t="shared" si="29"/>
        <v>1</v>
      </c>
      <c r="Z57" s="188">
        <f t="shared" si="29"/>
        <v>1</v>
      </c>
      <c r="AA57" s="188">
        <f t="shared" si="29"/>
        <v>1</v>
      </c>
      <c r="AB57" s="188">
        <f t="shared" si="29"/>
        <v>1</v>
      </c>
      <c r="AC57" s="188">
        <f t="shared" si="29"/>
        <v>1</v>
      </c>
      <c r="AD57" s="188">
        <f t="shared" si="29"/>
        <v>1</v>
      </c>
      <c r="AE57" s="191">
        <f>$Z$34</f>
        <v>1</v>
      </c>
      <c r="AF57" s="188">
        <f>AE57+($AY57-$AE57)/($AY$56-$AE$56)</f>
        <v>1</v>
      </c>
      <c r="AG57" s="188">
        <f t="shared" ref="AG57:AX57" si="30">AF57+($AY57-$AE57)/($AY$56-$AE$56)</f>
        <v>1</v>
      </c>
      <c r="AH57" s="188">
        <f t="shared" si="30"/>
        <v>1</v>
      </c>
      <c r="AI57" s="188">
        <f t="shared" si="30"/>
        <v>1</v>
      </c>
      <c r="AJ57" s="188">
        <f t="shared" si="30"/>
        <v>1</v>
      </c>
      <c r="AK57" s="188">
        <f t="shared" si="30"/>
        <v>1</v>
      </c>
      <c r="AL57" s="188">
        <f t="shared" si="30"/>
        <v>1</v>
      </c>
      <c r="AM57" s="188">
        <f t="shared" si="30"/>
        <v>1</v>
      </c>
      <c r="AN57" s="188">
        <f t="shared" si="30"/>
        <v>1</v>
      </c>
      <c r="AO57" s="188">
        <f t="shared" si="30"/>
        <v>1</v>
      </c>
      <c r="AP57" s="188">
        <f t="shared" si="30"/>
        <v>1</v>
      </c>
      <c r="AQ57" s="188">
        <f t="shared" si="30"/>
        <v>1</v>
      </c>
      <c r="AR57" s="188">
        <f t="shared" si="30"/>
        <v>1</v>
      </c>
      <c r="AS57" s="188">
        <f t="shared" si="30"/>
        <v>1</v>
      </c>
      <c r="AT57" s="188">
        <f t="shared" si="30"/>
        <v>1</v>
      </c>
      <c r="AU57" s="188">
        <f t="shared" si="30"/>
        <v>1</v>
      </c>
      <c r="AV57" s="188">
        <f t="shared" si="30"/>
        <v>1</v>
      </c>
      <c r="AW57" s="188">
        <f t="shared" si="30"/>
        <v>1</v>
      </c>
      <c r="AX57" s="188">
        <f t="shared" si="30"/>
        <v>1</v>
      </c>
      <c r="AY57" s="191">
        <f>AA34</f>
        <v>1</v>
      </c>
      <c r="AZ57" s="188">
        <f>AY57</f>
        <v>1</v>
      </c>
      <c r="BA57" s="188">
        <f t="shared" ref="BA57:BJ58" si="31">AZ57</f>
        <v>1</v>
      </c>
      <c r="BB57" s="188">
        <f t="shared" si="31"/>
        <v>1</v>
      </c>
      <c r="BC57" s="188">
        <f t="shared" si="31"/>
        <v>1</v>
      </c>
      <c r="BD57" s="188">
        <f t="shared" si="31"/>
        <v>1</v>
      </c>
      <c r="BE57" s="188">
        <f t="shared" si="31"/>
        <v>1</v>
      </c>
      <c r="BF57" s="188">
        <f t="shared" si="31"/>
        <v>1</v>
      </c>
      <c r="BG57" s="188">
        <f t="shared" si="31"/>
        <v>1</v>
      </c>
      <c r="BH57" s="188">
        <f t="shared" si="31"/>
        <v>1</v>
      </c>
      <c r="BI57" s="188">
        <f t="shared" si="31"/>
        <v>1</v>
      </c>
      <c r="BJ57" s="188">
        <f t="shared" si="31"/>
        <v>1</v>
      </c>
    </row>
    <row r="58" spans="1:62">
      <c r="A58" s="174" t="s">
        <v>95</v>
      </c>
      <c r="B58" s="189"/>
      <c r="C58" s="189"/>
      <c r="D58" s="189"/>
      <c r="E58" s="189"/>
      <c r="F58" s="189"/>
      <c r="G58" s="189"/>
      <c r="H58" s="189"/>
      <c r="I58" s="189"/>
      <c r="J58" s="189"/>
      <c r="K58" s="189"/>
      <c r="L58" s="189"/>
      <c r="M58" s="189"/>
      <c r="N58" s="189"/>
      <c r="O58" s="189"/>
      <c r="P58" s="189"/>
      <c r="Q58" s="189"/>
      <c r="R58" s="189"/>
      <c r="S58" s="190"/>
      <c r="T58" s="191">
        <f>$Y$37</f>
        <v>0</v>
      </c>
      <c r="U58" s="192">
        <f>T58+($AE58-$T58)/($AE$56-$T$56)</f>
        <v>0</v>
      </c>
      <c r="V58" s="188">
        <f t="shared" ref="V58:AD58" si="32">U58+($AE58-$T58)/($AE$56-$T$56)</f>
        <v>0</v>
      </c>
      <c r="W58" s="188">
        <f t="shared" si="32"/>
        <v>0</v>
      </c>
      <c r="X58" s="188">
        <f t="shared" si="32"/>
        <v>0</v>
      </c>
      <c r="Y58" s="188">
        <f t="shared" si="32"/>
        <v>0</v>
      </c>
      <c r="Z58" s="188">
        <f t="shared" si="32"/>
        <v>0</v>
      </c>
      <c r="AA58" s="188">
        <f t="shared" si="32"/>
        <v>0</v>
      </c>
      <c r="AB58" s="188">
        <f t="shared" si="32"/>
        <v>0</v>
      </c>
      <c r="AC58" s="188">
        <f t="shared" si="32"/>
        <v>0</v>
      </c>
      <c r="AD58" s="188">
        <f t="shared" si="32"/>
        <v>0</v>
      </c>
      <c r="AE58" s="191">
        <f>$Z$37</f>
        <v>0</v>
      </c>
      <c r="AF58" s="188">
        <f>AE58+($AY58-$AE58)/($AY$56-$AE$56)</f>
        <v>0</v>
      </c>
      <c r="AG58" s="188">
        <f t="shared" ref="AG58:AX58" si="33">AF58+($AY58-$AE58)/($AY$56-$AE$56)</f>
        <v>0</v>
      </c>
      <c r="AH58" s="188">
        <f t="shared" si="33"/>
        <v>0</v>
      </c>
      <c r="AI58" s="188">
        <f t="shared" si="33"/>
        <v>0</v>
      </c>
      <c r="AJ58" s="188">
        <f t="shared" si="33"/>
        <v>0</v>
      </c>
      <c r="AK58" s="188">
        <f t="shared" si="33"/>
        <v>0</v>
      </c>
      <c r="AL58" s="188">
        <f t="shared" si="33"/>
        <v>0</v>
      </c>
      <c r="AM58" s="188">
        <f t="shared" si="33"/>
        <v>0</v>
      </c>
      <c r="AN58" s="188">
        <f t="shared" si="33"/>
        <v>0</v>
      </c>
      <c r="AO58" s="188">
        <f t="shared" si="33"/>
        <v>0</v>
      </c>
      <c r="AP58" s="188">
        <f t="shared" si="33"/>
        <v>0</v>
      </c>
      <c r="AQ58" s="188">
        <f t="shared" si="33"/>
        <v>0</v>
      </c>
      <c r="AR58" s="188">
        <f t="shared" si="33"/>
        <v>0</v>
      </c>
      <c r="AS58" s="188">
        <f t="shared" si="33"/>
        <v>0</v>
      </c>
      <c r="AT58" s="188">
        <f t="shared" si="33"/>
        <v>0</v>
      </c>
      <c r="AU58" s="188">
        <f t="shared" si="33"/>
        <v>0</v>
      </c>
      <c r="AV58" s="188">
        <f t="shared" si="33"/>
        <v>0</v>
      </c>
      <c r="AW58" s="188">
        <f t="shared" si="33"/>
        <v>0</v>
      </c>
      <c r="AX58" s="188">
        <f t="shared" si="33"/>
        <v>0</v>
      </c>
      <c r="AY58" s="191">
        <f>AA37</f>
        <v>0</v>
      </c>
      <c r="AZ58" s="188">
        <f>AY58</f>
        <v>0</v>
      </c>
      <c r="BA58" s="188">
        <f t="shared" si="31"/>
        <v>0</v>
      </c>
      <c r="BB58" s="188">
        <f t="shared" si="31"/>
        <v>0</v>
      </c>
      <c r="BC58" s="188">
        <f t="shared" si="31"/>
        <v>0</v>
      </c>
      <c r="BD58" s="188">
        <f t="shared" si="31"/>
        <v>0</v>
      </c>
      <c r="BE58" s="188">
        <f t="shared" si="31"/>
        <v>0</v>
      </c>
      <c r="BF58" s="188">
        <f t="shared" si="31"/>
        <v>0</v>
      </c>
      <c r="BG58" s="188">
        <f t="shared" si="31"/>
        <v>0</v>
      </c>
      <c r="BH58" s="188">
        <f t="shared" si="31"/>
        <v>0</v>
      </c>
      <c r="BI58" s="188">
        <f t="shared" si="31"/>
        <v>0</v>
      </c>
      <c r="BJ58" s="188">
        <f t="shared" si="31"/>
        <v>0</v>
      </c>
    </row>
    <row r="59" spans="1:62">
      <c r="A59" s="193"/>
      <c r="B59" s="194"/>
      <c r="C59" s="194"/>
      <c r="D59" s="194"/>
      <c r="E59" s="194"/>
      <c r="F59" s="194"/>
      <c r="G59" s="194"/>
      <c r="H59" s="194"/>
      <c r="I59" s="194"/>
      <c r="J59" s="194"/>
      <c r="K59" s="194"/>
      <c r="L59" s="194"/>
      <c r="M59" s="194"/>
      <c r="N59" s="194"/>
      <c r="O59" s="194"/>
      <c r="P59" s="194"/>
      <c r="Q59" s="194"/>
      <c r="R59" s="194"/>
      <c r="S59" s="194"/>
      <c r="T59" s="194" t="b">
        <f>ROUND(SUM(T57,T58),10)=100%</f>
        <v>1</v>
      </c>
      <c r="U59" s="194" t="b">
        <f t="shared" ref="U59:BI59" si="34">ROUND(SUM(U57,U58),10)=100%</f>
        <v>1</v>
      </c>
      <c r="V59" s="194" t="b">
        <f t="shared" si="34"/>
        <v>1</v>
      </c>
      <c r="W59" s="194" t="b">
        <f t="shared" si="34"/>
        <v>1</v>
      </c>
      <c r="X59" s="194" t="b">
        <f t="shared" si="34"/>
        <v>1</v>
      </c>
      <c r="Y59" s="194" t="b">
        <f t="shared" si="34"/>
        <v>1</v>
      </c>
      <c r="Z59" s="194" t="b">
        <f t="shared" si="34"/>
        <v>1</v>
      </c>
      <c r="AA59" s="194" t="b">
        <f t="shared" si="34"/>
        <v>1</v>
      </c>
      <c r="AB59" s="194" t="b">
        <f t="shared" si="34"/>
        <v>1</v>
      </c>
      <c r="AC59" s="194" t="b">
        <f t="shared" si="34"/>
        <v>1</v>
      </c>
      <c r="AD59" s="194" t="b">
        <f t="shared" si="34"/>
        <v>1</v>
      </c>
      <c r="AE59" s="194" t="b">
        <f t="shared" si="34"/>
        <v>1</v>
      </c>
      <c r="AF59" s="194" t="b">
        <f t="shared" si="34"/>
        <v>1</v>
      </c>
      <c r="AG59" s="194" t="b">
        <f t="shared" si="34"/>
        <v>1</v>
      </c>
      <c r="AH59" s="194" t="b">
        <f t="shared" si="34"/>
        <v>1</v>
      </c>
      <c r="AI59" s="194" t="b">
        <f t="shared" si="34"/>
        <v>1</v>
      </c>
      <c r="AJ59" s="194" t="b">
        <f t="shared" si="34"/>
        <v>1</v>
      </c>
      <c r="AK59" s="194" t="b">
        <f t="shared" si="34"/>
        <v>1</v>
      </c>
      <c r="AL59" s="194" t="b">
        <f t="shared" si="34"/>
        <v>1</v>
      </c>
      <c r="AM59" s="194" t="b">
        <f t="shared" si="34"/>
        <v>1</v>
      </c>
      <c r="AN59" s="194" t="b">
        <f t="shared" si="34"/>
        <v>1</v>
      </c>
      <c r="AO59" s="194" t="b">
        <f t="shared" si="34"/>
        <v>1</v>
      </c>
      <c r="AP59" s="194" t="b">
        <f t="shared" si="34"/>
        <v>1</v>
      </c>
      <c r="AQ59" s="194" t="b">
        <f t="shared" si="34"/>
        <v>1</v>
      </c>
      <c r="AR59" s="194" t="b">
        <f t="shared" si="34"/>
        <v>1</v>
      </c>
      <c r="AS59" s="194" t="b">
        <f t="shared" si="34"/>
        <v>1</v>
      </c>
      <c r="AT59" s="194" t="b">
        <f t="shared" si="34"/>
        <v>1</v>
      </c>
      <c r="AU59" s="194" t="b">
        <f t="shared" si="34"/>
        <v>1</v>
      </c>
      <c r="AV59" s="194" t="b">
        <f t="shared" si="34"/>
        <v>1</v>
      </c>
      <c r="AW59" s="194" t="b">
        <f t="shared" si="34"/>
        <v>1</v>
      </c>
      <c r="AX59" s="194" t="b">
        <f t="shared" si="34"/>
        <v>1</v>
      </c>
      <c r="AY59" s="194" t="b">
        <f t="shared" si="34"/>
        <v>1</v>
      </c>
      <c r="AZ59" s="194" t="b">
        <f t="shared" si="34"/>
        <v>1</v>
      </c>
      <c r="BA59" s="194" t="b">
        <f t="shared" si="34"/>
        <v>1</v>
      </c>
      <c r="BB59" s="194" t="b">
        <f t="shared" si="34"/>
        <v>1</v>
      </c>
      <c r="BC59" s="194" t="b">
        <f t="shared" si="34"/>
        <v>1</v>
      </c>
      <c r="BD59" s="194" t="b">
        <f t="shared" si="34"/>
        <v>1</v>
      </c>
      <c r="BE59" s="194" t="b">
        <f t="shared" si="34"/>
        <v>1</v>
      </c>
      <c r="BF59" s="194" t="b">
        <f t="shared" si="34"/>
        <v>1</v>
      </c>
      <c r="BG59" s="194" t="b">
        <f t="shared" si="34"/>
        <v>1</v>
      </c>
      <c r="BH59" s="194" t="b">
        <f t="shared" si="34"/>
        <v>1</v>
      </c>
      <c r="BI59" s="194" t="b">
        <f t="shared" si="34"/>
        <v>1</v>
      </c>
      <c r="BJ59" s="194" t="b">
        <f t="shared" ref="BJ59" si="35">ROUND(SUM(BJ57,BJ58),10)=100%</f>
        <v>1</v>
      </c>
    </row>
    <row r="60" spans="1:62">
      <c r="A60" s="715" t="s">
        <v>611</v>
      </c>
      <c r="B60" s="715"/>
      <c r="C60" s="715"/>
      <c r="D60" s="715"/>
      <c r="E60" s="715"/>
      <c r="F60" s="715"/>
      <c r="G60" s="715"/>
      <c r="H60" s="715"/>
      <c r="I60" s="715"/>
      <c r="J60" s="715"/>
      <c r="K60" s="715"/>
      <c r="L60" s="715"/>
      <c r="M60" s="715"/>
      <c r="N60" s="715"/>
      <c r="O60" s="715"/>
      <c r="P60" s="715"/>
      <c r="Q60" s="715"/>
      <c r="R60" s="715"/>
      <c r="S60" s="715"/>
      <c r="T60" s="715"/>
      <c r="U60" s="715"/>
      <c r="V60" s="715"/>
    </row>
    <row r="61" spans="1:62" s="613" customFormat="1">
      <c r="A61" s="715"/>
      <c r="B61" s="715"/>
      <c r="C61" s="715"/>
      <c r="D61" s="715"/>
      <c r="E61" s="715"/>
      <c r="F61" s="715"/>
      <c r="G61" s="715"/>
      <c r="H61" s="715"/>
      <c r="I61" s="715"/>
      <c r="J61" s="715"/>
      <c r="K61" s="715"/>
      <c r="L61" s="715"/>
      <c r="M61" s="715"/>
      <c r="N61" s="715"/>
      <c r="O61" s="715"/>
      <c r="P61" s="715"/>
      <c r="Q61" s="715"/>
      <c r="R61" s="715"/>
      <c r="S61" s="715"/>
      <c r="T61" s="715"/>
      <c r="U61" s="715"/>
      <c r="V61" s="715"/>
    </row>
    <row r="62" spans="1:62">
      <c r="A62" s="715" t="s">
        <v>612</v>
      </c>
      <c r="B62" s="715"/>
      <c r="C62" s="715"/>
      <c r="D62" s="715"/>
      <c r="E62" s="715"/>
      <c r="F62" s="715"/>
      <c r="G62" s="715"/>
      <c r="H62" s="715"/>
      <c r="I62" s="715"/>
      <c r="J62" s="715"/>
      <c r="K62" s="715"/>
      <c r="L62" s="715"/>
      <c r="M62" s="715"/>
      <c r="N62" s="715"/>
      <c r="O62" s="715"/>
      <c r="P62" s="715"/>
      <c r="Q62" s="715"/>
      <c r="R62" s="715"/>
      <c r="S62" s="715"/>
      <c r="T62" s="715"/>
      <c r="U62" s="715"/>
      <c r="V62" s="715"/>
    </row>
    <row r="63" spans="1:62" s="613" customFormat="1">
      <c r="A63" s="715"/>
      <c r="B63" s="715"/>
      <c r="C63" s="715"/>
      <c r="D63" s="715"/>
      <c r="E63" s="715"/>
      <c r="F63" s="715"/>
      <c r="G63" s="715"/>
      <c r="H63" s="715"/>
      <c r="I63" s="715"/>
      <c r="J63" s="715"/>
      <c r="K63" s="715"/>
      <c r="L63" s="715"/>
      <c r="M63" s="715"/>
      <c r="N63" s="715"/>
      <c r="O63" s="715"/>
      <c r="P63" s="715"/>
      <c r="Q63" s="715"/>
      <c r="R63" s="715"/>
      <c r="S63" s="715"/>
      <c r="T63" s="715"/>
      <c r="U63" s="715"/>
      <c r="V63" s="715"/>
    </row>
    <row r="64" spans="1:62"/>
    <row r="65" spans="1:22">
      <c r="A65" s="334" t="s">
        <v>96</v>
      </c>
    </row>
    <row r="66" spans="1:22">
      <c r="A66" s="144" t="s">
        <v>491</v>
      </c>
    </row>
    <row r="67" spans="1:22">
      <c r="A67" s="144" t="s">
        <v>613</v>
      </c>
    </row>
    <row r="68" spans="1:22">
      <c r="A68" s="763" t="s">
        <v>614</v>
      </c>
      <c r="B68" s="763"/>
      <c r="C68" s="763"/>
      <c r="D68" s="763"/>
      <c r="E68" s="763"/>
      <c r="F68" s="763"/>
      <c r="G68" s="763"/>
      <c r="H68" s="763"/>
      <c r="I68" s="763"/>
      <c r="J68" s="763"/>
      <c r="K68" s="763"/>
      <c r="L68" s="763"/>
      <c r="M68" s="763"/>
      <c r="N68" s="763"/>
      <c r="O68" s="763"/>
      <c r="P68" s="763"/>
      <c r="Q68" s="763"/>
      <c r="R68" s="763"/>
      <c r="S68" s="763"/>
      <c r="T68" s="763"/>
      <c r="U68" s="763"/>
      <c r="V68" s="763"/>
    </row>
    <row r="69" spans="1:22" s="613" customFormat="1">
      <c r="A69" s="763"/>
      <c r="B69" s="763"/>
      <c r="C69" s="763"/>
      <c r="D69" s="763"/>
      <c r="E69" s="763"/>
      <c r="F69" s="763"/>
      <c r="G69" s="763"/>
      <c r="H69" s="763"/>
      <c r="I69" s="763"/>
      <c r="J69" s="763"/>
      <c r="K69" s="763"/>
      <c r="L69" s="763"/>
      <c r="M69" s="763"/>
      <c r="N69" s="763"/>
      <c r="O69" s="763"/>
      <c r="P69" s="763"/>
      <c r="Q69" s="763"/>
      <c r="R69" s="763"/>
      <c r="S69" s="763"/>
      <c r="T69" s="763"/>
      <c r="U69" s="763"/>
      <c r="V69" s="763"/>
    </row>
    <row r="70" spans="1:22">
      <c r="A70" s="763" t="s">
        <v>615</v>
      </c>
      <c r="B70" s="763"/>
      <c r="C70" s="763"/>
      <c r="D70" s="763"/>
      <c r="E70" s="763"/>
      <c r="F70" s="763"/>
      <c r="G70" s="763"/>
      <c r="H70" s="763"/>
      <c r="I70" s="763"/>
      <c r="J70" s="763"/>
      <c r="K70" s="763"/>
      <c r="L70" s="763"/>
      <c r="M70" s="763"/>
      <c r="N70" s="763"/>
      <c r="O70" s="763"/>
      <c r="P70" s="763"/>
      <c r="Q70" s="763"/>
      <c r="R70" s="763"/>
      <c r="S70" s="763"/>
      <c r="T70" s="763"/>
      <c r="U70" s="763"/>
      <c r="V70" s="763"/>
    </row>
    <row r="71" spans="1:22" s="613" customFormat="1">
      <c r="A71" s="763"/>
      <c r="B71" s="763"/>
      <c r="C71" s="763"/>
      <c r="D71" s="763"/>
      <c r="E71" s="763"/>
      <c r="F71" s="763"/>
      <c r="G71" s="763"/>
      <c r="H71" s="763"/>
      <c r="I71" s="763"/>
      <c r="J71" s="763"/>
      <c r="K71" s="763"/>
      <c r="L71" s="763"/>
      <c r="M71" s="763"/>
      <c r="N71" s="763"/>
      <c r="O71" s="763"/>
      <c r="P71" s="763"/>
      <c r="Q71" s="763"/>
      <c r="R71" s="763"/>
      <c r="S71" s="763"/>
      <c r="T71" s="763"/>
      <c r="U71" s="763"/>
      <c r="V71" s="763"/>
    </row>
    <row r="72" spans="1:22"/>
    <row r="73" spans="1:22"/>
    <row r="74" spans="1:22"/>
    <row r="75" spans="1:22">
      <c r="A75" s="132" t="s">
        <v>616</v>
      </c>
      <c r="B75" s="132"/>
      <c r="C75" s="132"/>
      <c r="D75" s="132"/>
      <c r="E75" s="132"/>
      <c r="F75" s="132"/>
      <c r="G75" s="132"/>
      <c r="H75" s="132"/>
      <c r="I75" s="132"/>
      <c r="J75" s="132"/>
      <c r="K75" s="132"/>
      <c r="L75" s="132"/>
      <c r="M75" s="132"/>
      <c r="N75" s="132"/>
      <c r="O75" s="132"/>
      <c r="P75" s="132"/>
      <c r="Q75" s="132"/>
      <c r="R75" s="132"/>
      <c r="S75" s="132"/>
      <c r="T75" s="132"/>
      <c r="U75"/>
    </row>
    <row r="76" spans="1:22" hidden="1" outlineLevel="1"/>
    <row r="77" spans="1:22" hidden="1" outlineLevel="1">
      <c r="A77" s="1" t="s">
        <v>174</v>
      </c>
    </row>
    <row r="78" spans="1:22" hidden="1" outlineLevel="1">
      <c r="A78" s="749" t="s">
        <v>617</v>
      </c>
      <c r="B78" s="749"/>
      <c r="C78" s="749"/>
      <c r="D78" s="749"/>
      <c r="E78" s="749"/>
      <c r="F78" s="749"/>
      <c r="G78" s="749"/>
      <c r="H78" s="749"/>
      <c r="I78" s="749"/>
      <c r="J78" s="749"/>
      <c r="K78" s="749"/>
      <c r="L78" s="749"/>
      <c r="M78" s="749"/>
      <c r="N78" s="749"/>
      <c r="O78" s="749"/>
      <c r="P78" s="749"/>
      <c r="Q78" s="749"/>
      <c r="R78" s="749"/>
      <c r="S78" s="749"/>
      <c r="T78" s="749"/>
      <c r="U78" s="749"/>
      <c r="V78" s="749"/>
    </row>
    <row r="79" spans="1:22" s="613" customFormat="1" hidden="1" outlineLevel="1">
      <c r="A79" s="749"/>
      <c r="B79" s="749"/>
      <c r="C79" s="749"/>
      <c r="D79" s="749"/>
      <c r="E79" s="749"/>
      <c r="F79" s="749"/>
      <c r="G79" s="749"/>
      <c r="H79" s="749"/>
      <c r="I79" s="749"/>
      <c r="J79" s="749"/>
      <c r="K79" s="749"/>
      <c r="L79" s="749"/>
      <c r="M79" s="749"/>
      <c r="N79" s="749"/>
      <c r="O79" s="749"/>
      <c r="P79" s="749"/>
      <c r="Q79" s="749"/>
      <c r="R79" s="749"/>
      <c r="S79" s="749"/>
      <c r="T79" s="749"/>
      <c r="U79" s="749"/>
      <c r="V79" s="749"/>
    </row>
    <row r="80" spans="1:22" s="613" customFormat="1" ht="15.75" hidden="1" outlineLevel="1" thickBot="1">
      <c r="A80" s="749"/>
      <c r="B80" s="749"/>
      <c r="C80" s="749"/>
      <c r="D80" s="749"/>
      <c r="E80" s="749"/>
      <c r="F80" s="749"/>
      <c r="G80" s="749"/>
      <c r="H80" s="749"/>
      <c r="I80" s="749"/>
      <c r="J80" s="749"/>
      <c r="K80" s="749"/>
      <c r="L80" s="749"/>
      <c r="M80" s="749"/>
      <c r="N80" s="749"/>
      <c r="O80" s="749"/>
      <c r="P80" s="749"/>
      <c r="Q80" s="749"/>
      <c r="R80" s="749"/>
      <c r="S80" s="749"/>
      <c r="T80" s="749"/>
      <c r="U80" s="749"/>
      <c r="V80" s="749"/>
    </row>
    <row r="81" spans="19:34" s="522" customFormat="1" hidden="1" outlineLevel="1">
      <c r="S81" s="766" t="s">
        <v>317</v>
      </c>
      <c r="T81" s="767"/>
      <c r="U81" s="768"/>
      <c r="W81" s="766" t="s">
        <v>317</v>
      </c>
      <c r="X81" s="767"/>
      <c r="Y81" s="768"/>
      <c r="AA81" s="762" t="s">
        <v>144</v>
      </c>
      <c r="AB81" s="762"/>
      <c r="AC81" s="762"/>
      <c r="AD81" s="762"/>
      <c r="AE81" s="762"/>
      <c r="AF81" s="762"/>
      <c r="AG81" s="762"/>
      <c r="AH81" s="762"/>
    </row>
    <row r="82" spans="19:34" s="522" customFormat="1" ht="15.75" hidden="1" outlineLevel="1" thickBot="1">
      <c r="S82" s="754" t="s">
        <v>7</v>
      </c>
      <c r="T82" s="755"/>
      <c r="U82" s="756"/>
      <c r="W82" s="754" t="s">
        <v>7</v>
      </c>
      <c r="X82" s="755"/>
      <c r="Y82" s="756"/>
      <c r="AA82" s="762"/>
      <c r="AB82" s="762"/>
      <c r="AC82" s="762"/>
      <c r="AD82" s="762"/>
      <c r="AE82" s="762"/>
      <c r="AF82" s="762"/>
      <c r="AG82" s="762"/>
      <c r="AH82" s="762"/>
    </row>
    <row r="83" spans="19:34" s="522" customFormat="1" hidden="1" outlineLevel="1">
      <c r="S83" s="754" t="s">
        <v>8</v>
      </c>
      <c r="T83" s="755"/>
      <c r="U83" s="756"/>
      <c r="W83" s="754" t="s">
        <v>9</v>
      </c>
      <c r="X83" s="755"/>
      <c r="Y83" s="756"/>
      <c r="AA83" s="124" t="s">
        <v>45</v>
      </c>
      <c r="AB83" s="126"/>
      <c r="AC83" s="125"/>
    </row>
    <row r="84" spans="19:34" s="522" customFormat="1" ht="15.75" hidden="1" customHeight="1" outlineLevel="1" thickBot="1">
      <c r="S84" s="25" t="s">
        <v>11</v>
      </c>
      <c r="T84" s="20" t="s">
        <v>10</v>
      </c>
      <c r="U84" s="21" t="s">
        <v>6</v>
      </c>
      <c r="W84" s="25" t="s">
        <v>11</v>
      </c>
      <c r="X84" s="20" t="s">
        <v>10</v>
      </c>
      <c r="Y84" s="21" t="s">
        <v>6</v>
      </c>
      <c r="AA84" s="25" t="s">
        <v>11</v>
      </c>
      <c r="AB84" s="20" t="s">
        <v>10</v>
      </c>
      <c r="AC84" s="21" t="s">
        <v>6</v>
      </c>
      <c r="AD84" s="750" t="s">
        <v>618</v>
      </c>
      <c r="AE84" s="751"/>
      <c r="AF84" s="751"/>
      <c r="AG84" s="751"/>
    </row>
    <row r="85" spans="19:34" s="522" customFormat="1" hidden="1" outlineLevel="1">
      <c r="S85" s="237" t="s">
        <v>14</v>
      </c>
      <c r="T85" s="238">
        <v>0.26400914009688037</v>
      </c>
      <c r="U85" s="239">
        <v>0.61594160249321572</v>
      </c>
      <c r="W85" s="237" t="s">
        <v>14</v>
      </c>
      <c r="X85" s="238">
        <f>T85*$AB85</f>
        <v>0.29371016835777941</v>
      </c>
      <c r="Y85" s="239">
        <f>U85*$AC85</f>
        <v>0.69293430280486767</v>
      </c>
      <c r="AA85" s="22">
        <v>5</v>
      </c>
      <c r="AB85" s="94">
        <f>1+($AB$102*$AB$103)*$AB$104</f>
        <v>1.1125</v>
      </c>
      <c r="AC85" s="95">
        <f>1+($AB$102*$AC$103)*$AB$104</f>
        <v>1.125</v>
      </c>
      <c r="AD85" s="750"/>
      <c r="AE85" s="751"/>
      <c r="AF85" s="751"/>
      <c r="AG85" s="751"/>
    </row>
    <row r="86" spans="19:34" s="522" customFormat="1" hidden="1" outlineLevel="1">
      <c r="S86" s="23" t="s">
        <v>27</v>
      </c>
      <c r="T86" s="96">
        <v>0.16720877498333173</v>
      </c>
      <c r="U86" s="97">
        <v>0.34304510120585624</v>
      </c>
      <c r="W86" s="23" t="s">
        <v>27</v>
      </c>
      <c r="X86" s="96">
        <f t="shared" ref="X86:X98" si="36">T86*$AB86</f>
        <v>0.18601976216895655</v>
      </c>
      <c r="Y86" s="97">
        <f t="shared" ref="Y86:Y98" si="37">U86*$AC86</f>
        <v>0.38592573885658826</v>
      </c>
      <c r="AA86" s="23">
        <v>15</v>
      </c>
      <c r="AB86" s="96">
        <f>1+($AB$102*$AB$103)*$AB$104</f>
        <v>1.1125</v>
      </c>
      <c r="AC86" s="97">
        <f>1+($AB$102*$AC$103)*$AB$104</f>
        <v>1.125</v>
      </c>
      <c r="AD86" s="750"/>
      <c r="AE86" s="751"/>
      <c r="AF86" s="751"/>
      <c r="AG86" s="751"/>
    </row>
    <row r="87" spans="19:34" s="522" customFormat="1" hidden="1" outlineLevel="1">
      <c r="S87" s="23" t="s">
        <v>28</v>
      </c>
      <c r="T87" s="96">
        <v>0.12739908075262904</v>
      </c>
      <c r="U87" s="97">
        <v>0.2609047051180175</v>
      </c>
      <c r="W87" s="23" t="s">
        <v>28</v>
      </c>
      <c r="X87" s="96">
        <f t="shared" si="36"/>
        <v>0.14173147733729982</v>
      </c>
      <c r="Y87" s="97">
        <f t="shared" si="37"/>
        <v>0.29351779325776967</v>
      </c>
      <c r="AA87" s="23">
        <v>25</v>
      </c>
      <c r="AB87" s="96">
        <f>1+($AB$102*$AB$103)*$AB$104</f>
        <v>1.1125</v>
      </c>
      <c r="AC87" s="97">
        <f>1+($AB$102*$AC$103)*$AB$104</f>
        <v>1.125</v>
      </c>
    </row>
    <row r="88" spans="19:34" s="522" customFormat="1" hidden="1" outlineLevel="1">
      <c r="S88" s="23" t="s">
        <v>29</v>
      </c>
      <c r="T88" s="96">
        <v>0.10346657798333291</v>
      </c>
      <c r="U88" s="97">
        <v>0.21920689638791566</v>
      </c>
      <c r="W88" s="23" t="s">
        <v>29</v>
      </c>
      <c r="X88" s="96">
        <f t="shared" si="36"/>
        <v>0.11510656800645787</v>
      </c>
      <c r="Y88" s="97">
        <f t="shared" si="37"/>
        <v>0.24660775843640512</v>
      </c>
      <c r="AA88" s="23">
        <v>35</v>
      </c>
      <c r="AB88" s="96">
        <f>1+($AB$102*$AB$103)*$AB$104</f>
        <v>1.1125</v>
      </c>
      <c r="AC88" s="97">
        <f>1+($AB$102*$AC$103)*$AB$104</f>
        <v>1.125</v>
      </c>
    </row>
    <row r="89" spans="19:34" s="522" customFormat="1" hidden="1" outlineLevel="1">
      <c r="S89" s="23" t="s">
        <v>30</v>
      </c>
      <c r="T89" s="96">
        <v>8.7650488681870142E-2</v>
      </c>
      <c r="U89" s="97">
        <v>0.19631735867348152</v>
      </c>
      <c r="W89" s="23" t="s">
        <v>30</v>
      </c>
      <c r="X89" s="96">
        <f t="shared" si="36"/>
        <v>9.7511168658580533E-2</v>
      </c>
      <c r="Y89" s="97">
        <f t="shared" si="37"/>
        <v>0.2208570285076667</v>
      </c>
      <c r="AA89" s="23">
        <v>45</v>
      </c>
      <c r="AB89" s="96">
        <f>1+($AB$102*$AB$103)*$AB$104</f>
        <v>1.1125</v>
      </c>
      <c r="AC89" s="97">
        <f>1+($AB$102*$AC$103)*$AB$104</f>
        <v>1.125</v>
      </c>
    </row>
    <row r="90" spans="19:34" s="522" customFormat="1" hidden="1" outlineLevel="1">
      <c r="S90" s="23" t="s">
        <v>31</v>
      </c>
      <c r="T90" s="96">
        <v>7.7088849874525425E-2</v>
      </c>
      <c r="U90" s="97">
        <v>0.18414085886746334</v>
      </c>
      <c r="W90" s="23" t="s">
        <v>31</v>
      </c>
      <c r="X90" s="96">
        <f t="shared" si="36"/>
        <v>8.7206761420556889E-2</v>
      </c>
      <c r="Y90" s="97">
        <f t="shared" si="37"/>
        <v>0.21099473411896841</v>
      </c>
      <c r="AA90" s="23">
        <v>55</v>
      </c>
      <c r="AB90" s="96">
        <f>$AB$89+($AB$95-$AB$89)/($AA$95-$AA$89)*((AA90-$AA$89))</f>
        <v>1.1312500000000001</v>
      </c>
      <c r="AC90" s="97">
        <f>$AC$89+($AC$95-$AC$89)/($AA$95-$AA$89)*((AA90-$AA$89))</f>
        <v>1.1458333333333333</v>
      </c>
    </row>
    <row r="91" spans="19:34" s="522" customFormat="1" hidden="1" outlineLevel="1">
      <c r="S91" s="23" t="s">
        <v>32</v>
      </c>
      <c r="T91" s="96">
        <v>7.0394126103341545E-2</v>
      </c>
      <c r="U91" s="97">
        <v>0.17843021537746723</v>
      </c>
      <c r="W91" s="23" t="s">
        <v>32</v>
      </c>
      <c r="X91" s="96">
        <f t="shared" si="36"/>
        <v>8.0953245018842782E-2</v>
      </c>
      <c r="Y91" s="97">
        <f t="shared" si="37"/>
        <v>0.2081685846070451</v>
      </c>
      <c r="AA91" s="23">
        <v>65</v>
      </c>
      <c r="AB91" s="96">
        <f>$AB$89+($AB$95-$AB$89)/($AA$95-$AA$89)*((AA91-$AA$89))</f>
        <v>1.1500000000000001</v>
      </c>
      <c r="AC91" s="97">
        <f>$AC$89+($AC$95-$AC$89)/($AA$95-$AA$89)*((AA91-$AA$89))</f>
        <v>1.1666666666666667</v>
      </c>
    </row>
    <row r="92" spans="19:34" s="522" customFormat="1" hidden="1" outlineLevel="1">
      <c r="S92" s="23" t="s">
        <v>33</v>
      </c>
      <c r="T92" s="96">
        <v>6.6778955230642451E-2</v>
      </c>
      <c r="U92" s="97">
        <v>0.17687373640190496</v>
      </c>
      <c r="W92" s="23" t="s">
        <v>33</v>
      </c>
      <c r="X92" s="96">
        <f t="shared" si="36"/>
        <v>7.8047903925813372E-2</v>
      </c>
      <c r="Y92" s="97">
        <f t="shared" si="37"/>
        <v>0.21003756197726214</v>
      </c>
      <c r="AA92" s="23">
        <v>75</v>
      </c>
      <c r="AB92" s="96">
        <f>$AB$89+($AB$95-$AB$89)/($AA$95-$AA$89)*((AA92-$AA$89))</f>
        <v>1.1687500000000002</v>
      </c>
      <c r="AC92" s="97">
        <f>$AC$89+($AC$95-$AC$89)/($AA$95-$AA$89)*((AA92-$AA$89))</f>
        <v>1.1875</v>
      </c>
    </row>
    <row r="93" spans="19:34" s="522" customFormat="1" hidden="1" outlineLevel="1">
      <c r="S93" s="99" t="s">
        <v>34</v>
      </c>
      <c r="T93" s="100">
        <v>6.5747674086994862E-2</v>
      </c>
      <c r="U93" s="98">
        <v>0.1786110300548317</v>
      </c>
      <c r="W93" s="99" t="s">
        <v>34</v>
      </c>
      <c r="X93" s="100">
        <f t="shared" si="36"/>
        <v>7.8075362978306403E-2</v>
      </c>
      <c r="Y93" s="98">
        <f t="shared" si="37"/>
        <v>0.21582166131625496</v>
      </c>
      <c r="AA93" s="99">
        <v>85</v>
      </c>
      <c r="AB93" s="96">
        <f>$AB$89+($AB$95-$AB$89)/($AA$95-$AA$89)*((AA93-$AA$89))</f>
        <v>1.1875</v>
      </c>
      <c r="AC93" s="97">
        <f>$AC$89+($AC$95-$AC$89)/($AA$95-$AA$89)*((AA93-$AA$89))</f>
        <v>1.2083333333333333</v>
      </c>
    </row>
    <row r="94" spans="19:34" s="522" customFormat="1" hidden="1" outlineLevel="1">
      <c r="S94" s="99" t="s">
        <v>35</v>
      </c>
      <c r="T94" s="100">
        <v>6.696429019663587E-2</v>
      </c>
      <c r="U94" s="98">
        <v>0.1852363782790602</v>
      </c>
      <c r="W94" s="99" t="s">
        <v>35</v>
      </c>
      <c r="X94" s="100">
        <f t="shared" si="36"/>
        <v>8.077567504969202E-2</v>
      </c>
      <c r="Y94" s="98">
        <f t="shared" si="37"/>
        <v>0.22768638163467816</v>
      </c>
      <c r="AA94" s="99">
        <v>95</v>
      </c>
      <c r="AB94" s="96">
        <f>$AB$89+($AB$95-$AB$89)/($AA$95-$AA$89)*((AA94-$AA$89))</f>
        <v>1.20625</v>
      </c>
      <c r="AC94" s="97">
        <f>$AC$89+($AC$95-$AC$89)/($AA$95-$AA$89)*((AA94-$AA$89))</f>
        <v>1.2291666666666667</v>
      </c>
    </row>
    <row r="95" spans="19:34" s="522" customFormat="1" hidden="1" outlineLevel="1">
      <c r="S95" s="99" t="s">
        <v>36</v>
      </c>
      <c r="T95" s="100">
        <v>7.0188056580033409E-2</v>
      </c>
      <c r="U95" s="98">
        <v>0.21322220085792618</v>
      </c>
      <c r="W95" s="99" t="s">
        <v>36</v>
      </c>
      <c r="X95" s="100">
        <f t="shared" si="36"/>
        <v>8.5980369310540927E-2</v>
      </c>
      <c r="Y95" s="98">
        <f t="shared" si="37"/>
        <v>0.26652775107240773</v>
      </c>
      <c r="AA95" s="99">
        <v>105</v>
      </c>
      <c r="AB95" s="100">
        <f>1+($AB$102*$AB$103)</f>
        <v>1.2250000000000001</v>
      </c>
      <c r="AC95" s="98">
        <f>1+($AB$102*$AC$103)</f>
        <v>1.25</v>
      </c>
    </row>
    <row r="96" spans="19:34" s="522" customFormat="1" hidden="1" outlineLevel="1">
      <c r="S96" s="99" t="s">
        <v>37</v>
      </c>
      <c r="T96" s="100">
        <v>7.5238875190980228E-2</v>
      </c>
      <c r="U96" s="98">
        <v>0.24120802343679215</v>
      </c>
      <c r="W96" s="99" t="s">
        <v>37</v>
      </c>
      <c r="X96" s="100">
        <f t="shared" si="36"/>
        <v>9.2167622108950784E-2</v>
      </c>
      <c r="Y96" s="98">
        <f t="shared" si="37"/>
        <v>0.30151002929599019</v>
      </c>
      <c r="AA96" s="99">
        <v>115</v>
      </c>
      <c r="AB96" s="100">
        <f>1+($AB$102*$AB$103)</f>
        <v>1.2250000000000001</v>
      </c>
      <c r="AC96" s="98">
        <f>1+($AB$102*$AC$103)</f>
        <v>1.25</v>
      </c>
    </row>
    <row r="97" spans="1:30" s="522" customFormat="1" hidden="1" outlineLevel="1">
      <c r="S97" s="23" t="s">
        <v>38</v>
      </c>
      <c r="T97" s="96">
        <v>8.1977303869154236E-2</v>
      </c>
      <c r="U97" s="98">
        <v>0.2691938460156581</v>
      </c>
      <c r="W97" s="23" t="s">
        <v>38</v>
      </c>
      <c r="X97" s="96">
        <f t="shared" si="36"/>
        <v>0.10042219723971395</v>
      </c>
      <c r="Y97" s="98">
        <f t="shared" si="37"/>
        <v>0.3364923075195726</v>
      </c>
      <c r="AA97" s="23">
        <v>125</v>
      </c>
      <c r="AB97" s="100">
        <f>1+($AB$102*$AB$103)</f>
        <v>1.2250000000000001</v>
      </c>
      <c r="AC97" s="98">
        <f>1+($AB$102*$AC$103)</f>
        <v>1.25</v>
      </c>
    </row>
    <row r="98" spans="1:30" s="522" customFormat="1" ht="15.75" hidden="1" outlineLevel="1" thickBot="1">
      <c r="S98" s="24" t="s">
        <v>15</v>
      </c>
      <c r="T98" s="240">
        <v>9.0292310210704496E-2</v>
      </c>
      <c r="U98" s="123">
        <v>0.29717966859452405</v>
      </c>
      <c r="W98" s="24" t="s">
        <v>15</v>
      </c>
      <c r="X98" s="240">
        <f t="shared" si="36"/>
        <v>0.11060808000811302</v>
      </c>
      <c r="Y98" s="123">
        <f t="shared" si="37"/>
        <v>0.37147458574315506</v>
      </c>
      <c r="AA98" s="24">
        <v>135</v>
      </c>
      <c r="AB98" s="127">
        <f>1+($AB$102*$AB$103)</f>
        <v>1.2250000000000001</v>
      </c>
      <c r="AC98" s="123">
        <f>1+($AB$102*$AC$103)</f>
        <v>1.25</v>
      </c>
    </row>
    <row r="99" spans="1:30" s="522" customFormat="1" hidden="1" outlineLevel="1">
      <c r="S99" s="35" t="s">
        <v>660</v>
      </c>
      <c r="AA99" s="208" t="s">
        <v>633</v>
      </c>
      <c r="AB99" s="233"/>
      <c r="AC99" s="233"/>
    </row>
    <row r="100" spans="1:30" s="522" customFormat="1" hidden="1" outlineLevel="1">
      <c r="S100" s="35" t="s">
        <v>661</v>
      </c>
      <c r="AA100" s="208"/>
    </row>
    <row r="101" spans="1:30" s="522" customFormat="1" hidden="1" outlineLevel="1">
      <c r="S101" s="35" t="s">
        <v>662</v>
      </c>
      <c r="AA101" s="208"/>
    </row>
    <row r="102" spans="1:30" s="522" customFormat="1" hidden="1" outlineLevel="1">
      <c r="AB102" s="102">
        <v>5</v>
      </c>
      <c r="AC102" s="198"/>
      <c r="AD102" s="14" t="s">
        <v>619</v>
      </c>
    </row>
    <row r="103" spans="1:30" s="522" customFormat="1" hidden="1" outlineLevel="1">
      <c r="AB103" s="128">
        <v>4.4999999999999998E-2</v>
      </c>
      <c r="AC103" s="128">
        <v>0.05</v>
      </c>
      <c r="AD103" s="14" t="s">
        <v>620</v>
      </c>
    </row>
    <row r="104" spans="1:30" s="522" customFormat="1" hidden="1" outlineLevel="1">
      <c r="AB104" s="128">
        <v>0.5</v>
      </c>
      <c r="AC104" s="198"/>
      <c r="AD104" s="14" t="s">
        <v>621</v>
      </c>
    </row>
    <row r="105" spans="1:30" s="522" customFormat="1" hidden="1" outlineLevel="1">
      <c r="A105" s="715" t="s">
        <v>623</v>
      </c>
      <c r="B105" s="715"/>
      <c r="C105" s="715"/>
      <c r="D105" s="715"/>
      <c r="E105" s="715"/>
      <c r="F105" s="715"/>
      <c r="G105" s="715"/>
      <c r="H105" s="715"/>
      <c r="I105" s="715"/>
      <c r="J105" s="715"/>
      <c r="K105" s="715"/>
      <c r="L105" s="715"/>
      <c r="M105" s="715"/>
      <c r="N105" s="715"/>
      <c r="O105" s="715"/>
      <c r="P105" s="715"/>
      <c r="Q105" s="715"/>
      <c r="R105" s="715"/>
      <c r="S105" s="715"/>
      <c r="T105" s="715"/>
      <c r="U105" s="715"/>
      <c r="V105" s="715"/>
      <c r="AD105" s="208" t="s">
        <v>622</v>
      </c>
    </row>
    <row r="106" spans="1:30" s="613" customFormat="1" hidden="1" outlineLevel="1">
      <c r="A106" s="715"/>
      <c r="B106" s="715"/>
      <c r="C106" s="715"/>
      <c r="D106" s="715"/>
      <c r="E106" s="715"/>
      <c r="F106" s="715"/>
      <c r="G106" s="715"/>
      <c r="H106" s="715"/>
      <c r="I106" s="715"/>
      <c r="J106" s="715"/>
      <c r="K106" s="715"/>
      <c r="L106" s="715"/>
      <c r="M106" s="715"/>
      <c r="N106" s="715"/>
      <c r="O106" s="715"/>
      <c r="P106" s="715"/>
      <c r="Q106" s="715"/>
      <c r="R106" s="715"/>
      <c r="S106" s="715"/>
      <c r="T106" s="715"/>
      <c r="U106" s="715"/>
      <c r="V106" s="715"/>
      <c r="AD106" s="208"/>
    </row>
    <row r="107" spans="1:30" s="522" customFormat="1" hidden="1" outlineLevel="1">
      <c r="A107" s="715" t="s">
        <v>624</v>
      </c>
      <c r="B107" s="715"/>
      <c r="C107" s="715"/>
      <c r="D107" s="715"/>
      <c r="E107" s="715"/>
      <c r="F107" s="715"/>
      <c r="G107" s="715"/>
      <c r="H107" s="715"/>
      <c r="I107" s="715"/>
      <c r="J107" s="715"/>
      <c r="K107" s="715"/>
      <c r="L107" s="715"/>
      <c r="M107" s="715"/>
      <c r="N107" s="715"/>
      <c r="O107" s="715"/>
      <c r="P107" s="715"/>
      <c r="Q107" s="715"/>
      <c r="R107" s="715"/>
      <c r="S107" s="715"/>
      <c r="T107" s="715"/>
      <c r="U107" s="715"/>
      <c r="V107" s="715"/>
    </row>
    <row r="108" spans="1:30" s="613" customFormat="1" hidden="1" outlineLevel="1">
      <c r="A108" s="715"/>
      <c r="B108" s="715"/>
      <c r="C108" s="715"/>
      <c r="D108" s="715"/>
      <c r="E108" s="715"/>
      <c r="F108" s="715"/>
      <c r="G108" s="715"/>
      <c r="H108" s="715"/>
      <c r="I108" s="715"/>
      <c r="J108" s="715"/>
      <c r="K108" s="715"/>
      <c r="L108" s="715"/>
      <c r="M108" s="715"/>
      <c r="N108" s="715"/>
      <c r="O108" s="715"/>
      <c r="P108" s="715"/>
      <c r="Q108" s="715"/>
      <c r="R108" s="715"/>
      <c r="S108" s="715"/>
      <c r="T108" s="715"/>
      <c r="U108" s="715"/>
      <c r="V108" s="715"/>
    </row>
    <row r="109" spans="1:30" s="546" customFormat="1" ht="15.75" hidden="1" outlineLevel="1" thickBot="1">
      <c r="A109" s="771" t="s">
        <v>618</v>
      </c>
      <c r="B109" s="771"/>
      <c r="C109" s="771"/>
      <c r="D109" s="771"/>
      <c r="E109" s="771"/>
      <c r="F109" s="771"/>
      <c r="G109" s="771"/>
      <c r="H109" s="771"/>
      <c r="I109" s="771"/>
      <c r="J109" s="771"/>
      <c r="K109" s="771"/>
      <c r="L109" s="771"/>
      <c r="M109" s="771"/>
      <c r="N109" s="771"/>
      <c r="O109" s="771"/>
      <c r="P109" s="771"/>
      <c r="Q109" s="771"/>
      <c r="R109" s="771"/>
      <c r="S109" s="771"/>
      <c r="T109" s="771"/>
      <c r="U109" s="771"/>
      <c r="V109" s="771"/>
    </row>
    <row r="110" spans="1:30" s="522" customFormat="1" hidden="1" outlineLevel="1">
      <c r="S110" s="124" t="s">
        <v>44</v>
      </c>
      <c r="T110" s="126"/>
      <c r="U110" s="125"/>
    </row>
    <row r="111" spans="1:30" s="522" customFormat="1" ht="15.75" hidden="1" outlineLevel="1" thickBot="1">
      <c r="S111" s="32" t="s">
        <v>43</v>
      </c>
      <c r="T111" s="33" t="s">
        <v>10</v>
      </c>
      <c r="U111" s="34" t="s">
        <v>6</v>
      </c>
    </row>
    <row r="112" spans="1:30" s="522" customFormat="1" hidden="1" outlineLevel="1">
      <c r="S112" s="26" t="s">
        <v>13</v>
      </c>
      <c r="T112" s="30">
        <v>1</v>
      </c>
      <c r="U112" s="31">
        <v>1</v>
      </c>
    </row>
    <row r="113" spans="1:28" s="522" customFormat="1" ht="15.75" hidden="1" outlineLevel="1" thickBot="1">
      <c r="S113" s="27" t="s">
        <v>12</v>
      </c>
      <c r="T113" s="28">
        <v>1.0316643084185093</v>
      </c>
      <c r="U113" s="29">
        <v>1.1996070463245994</v>
      </c>
    </row>
    <row r="114" spans="1:28" s="522" customFormat="1" hidden="1" outlineLevel="1">
      <c r="S114" s="35" t="s">
        <v>109</v>
      </c>
      <c r="T114" s="195"/>
      <c r="U114" s="195"/>
    </row>
    <row r="115" spans="1:28" s="522" customFormat="1" hidden="1" outlineLevel="1">
      <c r="S115" s="772" t="s">
        <v>625</v>
      </c>
      <c r="T115" s="772"/>
      <c r="U115" s="772"/>
      <c r="V115" s="772"/>
      <c r="W115" s="772"/>
      <c r="X115" s="772"/>
      <c r="Y115" s="772"/>
      <c r="Z115" s="772"/>
      <c r="AA115" s="772"/>
      <c r="AB115" s="772"/>
    </row>
    <row r="116" spans="1:28" s="613" customFormat="1" hidden="1" outlineLevel="1">
      <c r="S116" s="772"/>
      <c r="T116" s="772"/>
      <c r="U116" s="772"/>
      <c r="V116" s="772"/>
      <c r="W116" s="772"/>
      <c r="X116" s="772"/>
      <c r="Y116" s="772"/>
      <c r="Z116" s="772"/>
      <c r="AA116" s="772"/>
      <c r="AB116" s="772"/>
    </row>
    <row r="117" spans="1:28" s="613" customFormat="1" hidden="1" outlineLevel="1">
      <c r="S117" s="772"/>
      <c r="T117" s="772"/>
      <c r="U117" s="772"/>
      <c r="V117" s="772"/>
      <c r="W117" s="772"/>
      <c r="X117" s="772"/>
      <c r="Y117" s="772"/>
      <c r="Z117" s="772"/>
      <c r="AA117" s="772"/>
      <c r="AB117" s="772"/>
    </row>
    <row r="118" spans="1:28" s="522" customFormat="1" hidden="1" outlineLevel="1">
      <c r="A118" s="1" t="s">
        <v>318</v>
      </c>
    </row>
    <row r="119" spans="1:28" s="522" customFormat="1" hidden="1" outlineLevel="1">
      <c r="A119" s="522" t="s">
        <v>626</v>
      </c>
    </row>
    <row r="120" spans="1:28" s="522" customFormat="1" hidden="1" outlineLevel="1">
      <c r="A120" s="9" t="s">
        <v>90</v>
      </c>
      <c r="B120" s="9"/>
      <c r="C120" s="9"/>
      <c r="D120" s="9"/>
      <c r="E120" s="9"/>
      <c r="F120" s="9"/>
      <c r="G120" s="9"/>
      <c r="H120" s="9"/>
      <c r="I120" s="9"/>
      <c r="J120" s="9"/>
      <c r="K120" s="9"/>
      <c r="L120" s="9"/>
      <c r="M120" s="9"/>
      <c r="N120" s="9"/>
      <c r="O120" s="9"/>
      <c r="P120" s="523">
        <v>2019</v>
      </c>
      <c r="Q120" s="524">
        <v>43466</v>
      </c>
      <c r="R120" s="525">
        <v>43497</v>
      </c>
      <c r="S120" s="525">
        <v>43525</v>
      </c>
      <c r="T120" s="525">
        <v>43556</v>
      </c>
      <c r="U120" s="525">
        <v>43586</v>
      </c>
      <c r="V120" s="525">
        <v>43617</v>
      </c>
      <c r="W120" s="525">
        <v>43647</v>
      </c>
      <c r="X120" s="525">
        <v>43678</v>
      </c>
      <c r="Y120" s="525">
        <v>43709</v>
      </c>
      <c r="Z120" s="525">
        <v>43739</v>
      </c>
      <c r="AA120" s="525">
        <v>43770</v>
      </c>
      <c r="AB120" s="525">
        <v>43800</v>
      </c>
    </row>
    <row r="121" spans="1:28" s="522" customFormat="1" hidden="1" outlineLevel="1">
      <c r="A121" s="526" t="s">
        <v>628</v>
      </c>
      <c r="B121" s="201" t="s">
        <v>319</v>
      </c>
      <c r="C121" s="90"/>
      <c r="D121" s="90"/>
      <c r="E121" s="90"/>
      <c r="F121" s="90"/>
      <c r="G121" s="90"/>
      <c r="H121" s="90"/>
      <c r="I121" s="90"/>
      <c r="J121" s="90"/>
      <c r="K121" s="90"/>
      <c r="L121" s="90"/>
      <c r="M121" s="90"/>
      <c r="N121" s="90"/>
      <c r="O121" s="90"/>
      <c r="P121" s="118">
        <f>AVERAGE(Q121:AB121)</f>
        <v>4.9800000000000004</v>
      </c>
      <c r="Q121" s="527">
        <v>4.7300000000000004</v>
      </c>
      <c r="R121" s="528">
        <v>4.71</v>
      </c>
      <c r="S121" s="528">
        <v>4.79</v>
      </c>
      <c r="T121" s="528">
        <v>5.1100000000000003</v>
      </c>
      <c r="U121" s="528">
        <v>5.23</v>
      </c>
      <c r="V121" s="528">
        <v>5.21</v>
      </c>
      <c r="W121" s="528">
        <v>5.13</v>
      </c>
      <c r="X121" s="528">
        <v>5.08</v>
      </c>
      <c r="Y121" s="528">
        <v>4.99</v>
      </c>
      <c r="Z121" s="528">
        <v>4.92</v>
      </c>
      <c r="AA121" s="528">
        <v>4.91</v>
      </c>
      <c r="AB121" s="528">
        <v>4.95</v>
      </c>
    </row>
    <row r="122" spans="1:28" s="522" customFormat="1" hidden="1" outlineLevel="1">
      <c r="A122" s="526" t="s">
        <v>320</v>
      </c>
      <c r="B122" s="201" t="s">
        <v>319</v>
      </c>
      <c r="C122" s="90"/>
      <c r="D122" s="90"/>
      <c r="E122" s="90"/>
      <c r="F122" s="90"/>
      <c r="G122" s="90"/>
      <c r="H122" s="90"/>
      <c r="I122" s="90"/>
      <c r="J122" s="90"/>
      <c r="K122" s="90"/>
      <c r="L122" s="90"/>
      <c r="M122" s="90"/>
      <c r="N122" s="90"/>
      <c r="O122" s="90"/>
      <c r="P122" s="118">
        <f>AVERAGE(Q122:AB122)</f>
        <v>5.0600000000000014</v>
      </c>
      <c r="Q122" s="527">
        <v>5.04</v>
      </c>
      <c r="R122" s="528">
        <v>4.99</v>
      </c>
      <c r="S122" s="528">
        <v>5.08</v>
      </c>
      <c r="T122" s="528">
        <v>5.15</v>
      </c>
      <c r="U122" s="528">
        <v>5.2</v>
      </c>
      <c r="V122" s="528">
        <v>5.14</v>
      </c>
      <c r="W122" s="528">
        <v>5.07</v>
      </c>
      <c r="X122" s="528">
        <v>5.03</v>
      </c>
      <c r="Y122" s="528">
        <v>4.99</v>
      </c>
      <c r="Z122" s="528">
        <v>4.96</v>
      </c>
      <c r="AA122" s="528">
        <v>4.9800000000000004</v>
      </c>
      <c r="AB122" s="528">
        <v>5.09</v>
      </c>
    </row>
    <row r="123" spans="1:28" s="522" customFormat="1" hidden="1" outlineLevel="1">
      <c r="A123" s="35" t="s">
        <v>321</v>
      </c>
    </row>
    <row r="124" spans="1:28" s="522" customFormat="1" hidden="1" outlineLevel="1"/>
    <row r="125" spans="1:28" s="522" customFormat="1" hidden="1" outlineLevel="1">
      <c r="A125" s="522" t="s">
        <v>627</v>
      </c>
    </row>
    <row r="126" spans="1:28" s="522" customFormat="1" hidden="1" outlineLevel="1">
      <c r="A126" s="9" t="s">
        <v>90</v>
      </c>
      <c r="B126" s="202"/>
      <c r="C126" s="202"/>
      <c r="D126" s="202"/>
      <c r="E126" s="202"/>
      <c r="F126" s="202"/>
      <c r="G126" s="202"/>
      <c r="H126" s="202"/>
      <c r="I126" s="202"/>
      <c r="J126" s="202"/>
      <c r="K126" s="202"/>
      <c r="L126" s="202"/>
      <c r="M126" s="202"/>
      <c r="N126" s="202"/>
      <c r="O126" s="202"/>
      <c r="P126" s="202">
        <v>2019</v>
      </c>
    </row>
    <row r="127" spans="1:28" s="522" customFormat="1" hidden="1" outlineLevel="1">
      <c r="A127" s="526" t="str">
        <f>A121</f>
        <v>Benzyna Pb 95</v>
      </c>
      <c r="B127" s="529"/>
      <c r="C127" s="529"/>
      <c r="D127" s="529"/>
      <c r="E127" s="529"/>
      <c r="F127" s="529"/>
      <c r="G127" s="529"/>
      <c r="H127" s="529"/>
      <c r="I127" s="529"/>
      <c r="J127" s="529"/>
      <c r="K127" s="529"/>
      <c r="L127" s="529"/>
      <c r="M127" s="529"/>
      <c r="N127" s="529"/>
      <c r="O127" s="529"/>
      <c r="P127" s="530">
        <f>100%-43.2%</f>
        <v>0.56799999999999995</v>
      </c>
    </row>
    <row r="128" spans="1:28" s="522" customFormat="1" hidden="1" outlineLevel="1">
      <c r="A128" s="526" t="str">
        <f>A122</f>
        <v>Olej napędowy ON</v>
      </c>
      <c r="B128" s="529"/>
      <c r="C128" s="529"/>
      <c r="D128" s="529"/>
      <c r="E128" s="529"/>
      <c r="F128" s="529"/>
      <c r="G128" s="529"/>
      <c r="H128" s="529"/>
      <c r="I128" s="529"/>
      <c r="J128" s="529"/>
      <c r="K128" s="529"/>
      <c r="L128" s="529"/>
      <c r="M128" s="529"/>
      <c r="N128" s="529"/>
      <c r="O128" s="529"/>
      <c r="P128" s="530">
        <f>100%-48.9%</f>
        <v>0.51100000000000001</v>
      </c>
    </row>
    <row r="129" spans="1:22" s="522" customFormat="1" hidden="1" outlineLevel="1">
      <c r="A129" s="35" t="s">
        <v>629</v>
      </c>
    </row>
    <row r="130" spans="1:22" s="522" customFormat="1" ht="18" hidden="1" customHeight="1" outlineLevel="1">
      <c r="A130" s="772" t="s">
        <v>630</v>
      </c>
      <c r="B130" s="772"/>
      <c r="C130" s="772"/>
      <c r="D130" s="772"/>
      <c r="E130" s="772"/>
      <c r="F130" s="772"/>
      <c r="G130" s="772"/>
      <c r="H130" s="772"/>
      <c r="I130" s="772"/>
      <c r="J130" s="772"/>
      <c r="K130" s="772"/>
      <c r="L130" s="772"/>
      <c r="M130" s="772"/>
      <c r="N130" s="772"/>
      <c r="O130" s="772"/>
      <c r="P130" s="772"/>
      <c r="Q130" s="772"/>
      <c r="R130" s="772"/>
      <c r="S130" s="772"/>
      <c r="T130" s="772"/>
      <c r="U130" s="772"/>
      <c r="V130" s="772"/>
    </row>
    <row r="131" spans="1:22" s="613" customFormat="1" hidden="1" outlineLevel="1">
      <c r="A131" s="772"/>
      <c r="B131" s="772"/>
      <c r="C131" s="772"/>
      <c r="D131" s="772"/>
      <c r="E131" s="772"/>
      <c r="F131" s="772"/>
      <c r="G131" s="772"/>
      <c r="H131" s="772"/>
      <c r="I131" s="772"/>
      <c r="J131" s="772"/>
      <c r="K131" s="772"/>
      <c r="L131" s="772"/>
      <c r="M131" s="772"/>
      <c r="N131" s="772"/>
      <c r="O131" s="772"/>
      <c r="P131" s="772"/>
      <c r="Q131" s="772"/>
      <c r="R131" s="772"/>
      <c r="S131" s="772"/>
      <c r="T131" s="772"/>
      <c r="U131" s="772"/>
      <c r="V131" s="772"/>
    </row>
    <row r="132" spans="1:22" s="522" customFormat="1" hidden="1" outlineLevel="1">
      <c r="A132" s="35" t="s">
        <v>322</v>
      </c>
    </row>
    <row r="133" spans="1:22" s="522" customFormat="1" hidden="1" outlineLevel="1"/>
    <row r="134" spans="1:22" s="522" customFormat="1" hidden="1" outlineLevel="1">
      <c r="A134" s="715" t="s">
        <v>610</v>
      </c>
      <c r="B134" s="715"/>
      <c r="C134" s="715"/>
      <c r="D134" s="715"/>
      <c r="E134" s="715"/>
      <c r="F134" s="715"/>
      <c r="G134" s="715"/>
      <c r="H134" s="715"/>
      <c r="I134" s="715"/>
      <c r="J134" s="715"/>
      <c r="K134" s="715"/>
      <c r="L134" s="715"/>
      <c r="M134" s="715"/>
      <c r="N134" s="715"/>
      <c r="O134" s="715"/>
      <c r="P134" s="715"/>
      <c r="Q134" s="715"/>
      <c r="R134" s="715"/>
      <c r="S134" s="715"/>
      <c r="T134" s="715"/>
      <c r="U134" s="715"/>
      <c r="V134" s="715"/>
    </row>
    <row r="135" spans="1:22" s="613" customFormat="1" hidden="1" outlineLevel="1">
      <c r="A135" s="715"/>
      <c r="B135" s="715"/>
      <c r="C135" s="715"/>
      <c r="D135" s="715"/>
      <c r="E135" s="715"/>
      <c r="F135" s="715"/>
      <c r="G135" s="715"/>
      <c r="H135" s="715"/>
      <c r="I135" s="715"/>
      <c r="J135" s="715"/>
      <c r="K135" s="715"/>
      <c r="L135" s="715"/>
      <c r="M135" s="715"/>
      <c r="N135" s="715"/>
      <c r="O135" s="715"/>
      <c r="P135" s="715"/>
      <c r="Q135" s="715"/>
      <c r="R135" s="715"/>
      <c r="S135" s="715"/>
      <c r="T135" s="715"/>
      <c r="U135" s="715"/>
      <c r="V135" s="715"/>
    </row>
    <row r="136" spans="1:22" s="522" customFormat="1" hidden="1" outlineLevel="1">
      <c r="A136" s="203" t="s">
        <v>122</v>
      </c>
      <c r="B136" s="9"/>
      <c r="C136" s="9"/>
      <c r="D136" s="9"/>
      <c r="E136" s="9"/>
      <c r="F136" s="9"/>
      <c r="G136" s="9"/>
      <c r="H136" s="9"/>
      <c r="I136" s="9"/>
      <c r="J136" s="9"/>
      <c r="K136" s="9"/>
      <c r="L136" s="9"/>
      <c r="M136" s="9"/>
      <c r="N136" s="9"/>
      <c r="O136" s="9"/>
      <c r="P136" s="202">
        <v>2019</v>
      </c>
      <c r="Q136" s="202">
        <v>2030</v>
      </c>
      <c r="R136" s="202">
        <v>2050</v>
      </c>
    </row>
    <row r="137" spans="1:22" s="522" customFormat="1" hidden="1" outlineLevel="1">
      <c r="A137" s="531" t="s">
        <v>94</v>
      </c>
      <c r="B137" s="232"/>
      <c r="C137" s="232"/>
      <c r="D137" s="232"/>
      <c r="E137" s="232"/>
      <c r="F137" s="232"/>
      <c r="G137" s="232"/>
      <c r="H137" s="232"/>
      <c r="I137" s="232"/>
      <c r="J137" s="232"/>
      <c r="K137" s="232"/>
      <c r="L137" s="232"/>
      <c r="M137" s="232"/>
      <c r="N137" s="232"/>
      <c r="O137" s="232"/>
      <c r="P137" s="231">
        <f>S35/SUM(S35:S36)</f>
        <v>0.67903598504544949</v>
      </c>
      <c r="Q137" s="231">
        <f>T35/SUM(T35:T36)</f>
        <v>0.70281995661605201</v>
      </c>
      <c r="R137" s="231">
        <f>U35/SUM(U35:U36)</f>
        <v>0.74140508221225709</v>
      </c>
    </row>
    <row r="138" spans="1:22" s="522" customFormat="1" hidden="1" outlineLevel="1">
      <c r="A138" s="531" t="s">
        <v>91</v>
      </c>
      <c r="B138" s="232"/>
      <c r="C138" s="232"/>
      <c r="D138" s="232"/>
      <c r="E138" s="232"/>
      <c r="F138" s="232"/>
      <c r="G138" s="232"/>
      <c r="H138" s="232"/>
      <c r="I138" s="232"/>
      <c r="J138" s="232"/>
      <c r="K138" s="232"/>
      <c r="L138" s="232"/>
      <c r="M138" s="232"/>
      <c r="N138" s="232"/>
      <c r="O138" s="232"/>
      <c r="P138" s="231">
        <f>S36/SUM(S35:S36)</f>
        <v>0.32096401495455057</v>
      </c>
      <c r="Q138" s="231">
        <f>T36/SUM(T35:T36)</f>
        <v>0.29718004338394799</v>
      </c>
      <c r="R138" s="231">
        <f>U36/SUM(U35:U36)</f>
        <v>0.25859491778774285</v>
      </c>
    </row>
    <row r="139" spans="1:22" s="522" customFormat="1" hidden="1" outlineLevel="1">
      <c r="A139" s="203" t="s">
        <v>123</v>
      </c>
      <c r="B139" s="9"/>
      <c r="C139" s="9"/>
      <c r="D139" s="9"/>
      <c r="E139" s="9"/>
      <c r="F139" s="9"/>
      <c r="G139" s="9"/>
      <c r="H139" s="9"/>
      <c r="I139" s="9"/>
      <c r="J139" s="9"/>
      <c r="K139" s="9"/>
      <c r="L139" s="9"/>
      <c r="M139" s="9"/>
      <c r="N139" s="9"/>
      <c r="O139" s="9"/>
      <c r="P139" s="202">
        <v>2019</v>
      </c>
      <c r="Q139" s="202">
        <v>2030</v>
      </c>
      <c r="R139" s="202">
        <v>2050</v>
      </c>
    </row>
    <row r="140" spans="1:22" s="522" customFormat="1" hidden="1" outlineLevel="1">
      <c r="A140" s="531" t="s">
        <v>94</v>
      </c>
      <c r="B140" s="232"/>
      <c r="C140" s="232"/>
      <c r="D140" s="232"/>
      <c r="E140" s="232"/>
      <c r="F140" s="232"/>
      <c r="G140" s="232"/>
      <c r="H140" s="232"/>
      <c r="I140" s="232"/>
      <c r="J140" s="232"/>
      <c r="K140" s="232"/>
      <c r="L140" s="232"/>
      <c r="M140" s="232"/>
      <c r="N140" s="232"/>
      <c r="O140" s="232"/>
      <c r="P140" s="231">
        <f>Y35/SUM(Y35:Y36)</f>
        <v>0</v>
      </c>
      <c r="Q140" s="231">
        <f>Z35/SUM(Z35:Z36)</f>
        <v>0</v>
      </c>
      <c r="R140" s="231">
        <f>AA35/SUM(AA35:AA36)</f>
        <v>0</v>
      </c>
    </row>
    <row r="141" spans="1:22" s="522" customFormat="1" hidden="1" outlineLevel="1">
      <c r="A141" s="531" t="s">
        <v>91</v>
      </c>
      <c r="B141" s="232"/>
      <c r="C141" s="232"/>
      <c r="D141" s="232"/>
      <c r="E141" s="232"/>
      <c r="F141" s="232"/>
      <c r="G141" s="232"/>
      <c r="H141" s="232"/>
      <c r="I141" s="232"/>
      <c r="J141" s="232"/>
      <c r="K141" s="232"/>
      <c r="L141" s="232"/>
      <c r="M141" s="232"/>
      <c r="N141" s="232"/>
      <c r="O141" s="232"/>
      <c r="P141" s="231">
        <f>Y36/SUM(Y35:Y36)</f>
        <v>1</v>
      </c>
      <c r="Q141" s="231">
        <f>Z36/SUM(Z35:Z36)</f>
        <v>1</v>
      </c>
      <c r="R141" s="231">
        <f>AA36/SUM(AA35:AA36)</f>
        <v>1</v>
      </c>
    </row>
    <row r="142" spans="1:22" s="522" customFormat="1" hidden="1" outlineLevel="1"/>
    <row r="143" spans="1:22" s="522" customFormat="1" hidden="1" outlineLevel="1">
      <c r="A143" s="522" t="s">
        <v>631</v>
      </c>
    </row>
    <row r="144" spans="1:22" s="522" customFormat="1" hidden="1" outlineLevel="1">
      <c r="A144" s="9" t="s">
        <v>90</v>
      </c>
      <c r="B144" s="9"/>
      <c r="C144" s="9"/>
      <c r="D144" s="9"/>
      <c r="E144" s="9"/>
      <c r="F144" s="9"/>
      <c r="G144" s="9"/>
      <c r="H144" s="9"/>
      <c r="I144" s="9"/>
      <c r="J144" s="9"/>
      <c r="K144" s="9"/>
      <c r="L144" s="9"/>
      <c r="M144" s="9"/>
      <c r="N144" s="9"/>
      <c r="O144" s="9"/>
      <c r="P144" s="9"/>
      <c r="Q144" s="9"/>
      <c r="R144" s="9"/>
      <c r="S144" s="9"/>
      <c r="T144" s="202">
        <v>2019</v>
      </c>
    </row>
    <row r="145" spans="1:22" s="522" customFormat="1" hidden="1" outlineLevel="1">
      <c r="A145" s="526" t="str">
        <f>A121</f>
        <v>Benzyna Pb 95</v>
      </c>
      <c r="B145" s="201" t="s">
        <v>319</v>
      </c>
      <c r="C145" s="90"/>
      <c r="D145" s="90"/>
      <c r="E145" s="90"/>
      <c r="F145" s="90"/>
      <c r="G145" s="90"/>
      <c r="H145" s="90"/>
      <c r="I145" s="90"/>
      <c r="J145" s="90"/>
      <c r="K145" s="90"/>
      <c r="L145" s="90"/>
      <c r="M145" s="90"/>
      <c r="N145" s="90"/>
      <c r="O145" s="90"/>
      <c r="P145" s="90"/>
      <c r="Q145" s="90"/>
      <c r="R145" s="90"/>
      <c r="S145" s="90"/>
      <c r="T145" s="118">
        <f>P121*(100%-P127)</f>
        <v>2.1513600000000004</v>
      </c>
    </row>
    <row r="146" spans="1:22" s="522" customFormat="1" hidden="1" outlineLevel="1">
      <c r="A146" s="526" t="str">
        <f>A122</f>
        <v>Olej napędowy ON</v>
      </c>
      <c r="B146" s="201" t="s">
        <v>319</v>
      </c>
      <c r="C146" s="90"/>
      <c r="D146" s="90"/>
      <c r="E146" s="90"/>
      <c r="F146" s="90"/>
      <c r="G146" s="90"/>
      <c r="H146" s="90"/>
      <c r="I146" s="90"/>
      <c r="J146" s="90"/>
      <c r="K146" s="90"/>
      <c r="L146" s="90"/>
      <c r="M146" s="90"/>
      <c r="N146" s="90"/>
      <c r="O146" s="90"/>
      <c r="P146" s="90"/>
      <c r="Q146" s="90"/>
      <c r="R146" s="90"/>
      <c r="S146" s="90"/>
      <c r="T146" s="118">
        <f>P122*(100%-P128)</f>
        <v>2.4743400000000007</v>
      </c>
    </row>
    <row r="147" spans="1:22" s="522" customFormat="1" hidden="1" outlineLevel="1"/>
    <row r="148" spans="1:22" s="522" customFormat="1" hidden="1" outlineLevel="1">
      <c r="A148" s="522" t="s">
        <v>323</v>
      </c>
    </row>
    <row r="149" spans="1:22" s="522" customFormat="1" hidden="1" outlineLevel="1">
      <c r="A149" s="715"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49" s="715"/>
      <c r="C149" s="715"/>
      <c r="D149" s="715"/>
      <c r="E149" s="715"/>
      <c r="F149" s="715"/>
      <c r="G149" s="715"/>
      <c r="H149" s="715"/>
      <c r="I149" s="715"/>
      <c r="J149" s="715"/>
      <c r="K149" s="715"/>
      <c r="L149" s="715"/>
      <c r="M149" s="715"/>
      <c r="N149" s="715"/>
      <c r="O149" s="715"/>
      <c r="P149" s="715"/>
      <c r="Q149" s="715"/>
      <c r="R149" s="715"/>
      <c r="S149" s="715"/>
      <c r="T149" s="715"/>
      <c r="U149" s="715"/>
      <c r="V149" s="715"/>
    </row>
    <row r="150" spans="1:22" s="613" customFormat="1" hidden="1" outlineLevel="1">
      <c r="A150" s="715"/>
      <c r="B150" s="715"/>
      <c r="C150" s="715"/>
      <c r="D150" s="715"/>
      <c r="E150" s="715"/>
      <c r="F150" s="715"/>
      <c r="G150" s="715"/>
      <c r="H150" s="715"/>
      <c r="I150" s="715"/>
      <c r="J150" s="715"/>
      <c r="K150" s="715"/>
      <c r="L150" s="715"/>
      <c r="M150" s="715"/>
      <c r="N150" s="715"/>
      <c r="O150" s="715"/>
      <c r="P150" s="715"/>
      <c r="Q150" s="715"/>
      <c r="R150" s="715"/>
      <c r="S150" s="715"/>
      <c r="T150" s="715"/>
      <c r="U150" s="715"/>
      <c r="V150" s="715"/>
    </row>
    <row r="151" spans="1:22" s="613" customFormat="1" hidden="1" outlineLevel="1">
      <c r="A151" s="715"/>
      <c r="B151" s="715"/>
      <c r="C151" s="715"/>
      <c r="D151" s="715"/>
      <c r="E151" s="715"/>
      <c r="F151" s="715"/>
      <c r="G151" s="715"/>
      <c r="H151" s="715"/>
      <c r="I151" s="715"/>
      <c r="J151" s="715"/>
      <c r="K151" s="715"/>
      <c r="L151" s="715"/>
      <c r="M151" s="715"/>
      <c r="N151" s="715"/>
      <c r="O151" s="715"/>
      <c r="P151" s="715"/>
      <c r="Q151" s="715"/>
      <c r="R151" s="715"/>
      <c r="S151" s="715"/>
      <c r="T151" s="715"/>
      <c r="U151" s="715"/>
      <c r="V151" s="715"/>
    </row>
    <row r="152" spans="1:22" s="522" customFormat="1" hidden="1" outlineLevel="1">
      <c r="A152" s="9"/>
      <c r="B152" s="9"/>
      <c r="C152" s="9"/>
      <c r="D152" s="9"/>
      <c r="E152" s="9"/>
      <c r="F152" s="9"/>
      <c r="G152" s="9"/>
      <c r="H152" s="9"/>
      <c r="I152" s="9"/>
      <c r="J152" s="9"/>
      <c r="K152" s="9"/>
      <c r="L152" s="9"/>
      <c r="M152" s="9"/>
      <c r="N152" s="9"/>
      <c r="O152" s="9"/>
      <c r="P152" s="2" t="s">
        <v>0</v>
      </c>
      <c r="Q152" s="202"/>
      <c r="R152" s="202"/>
      <c r="S152" s="202"/>
      <c r="T152" s="6">
        <v>2019</v>
      </c>
    </row>
    <row r="153" spans="1:22" s="522" customFormat="1" ht="30" hidden="1" outlineLevel="1">
      <c r="A153" s="8" t="s">
        <v>324</v>
      </c>
      <c r="B153" s="201" t="s">
        <v>319</v>
      </c>
      <c r="C153" s="90"/>
      <c r="D153" s="90"/>
      <c r="E153" s="90"/>
      <c r="F153" s="90"/>
      <c r="G153" s="90"/>
      <c r="H153" s="90"/>
      <c r="I153" s="90"/>
      <c r="J153" s="90"/>
      <c r="K153" s="90"/>
      <c r="L153" s="90"/>
      <c r="M153" s="90"/>
      <c r="N153" s="90"/>
      <c r="O153" s="90"/>
      <c r="P153" s="12"/>
      <c r="Q153" s="12"/>
      <c r="R153" s="12"/>
      <c r="S153" s="12"/>
      <c r="T153" s="118">
        <f>T$145*$P$137+T$146*$P$138</f>
        <v>2.2550249575500212</v>
      </c>
    </row>
    <row r="154" spans="1:22" s="522" customFormat="1" ht="30" hidden="1" outlineLevel="1">
      <c r="A154" s="8" t="s">
        <v>325</v>
      </c>
      <c r="B154" s="201" t="s">
        <v>319</v>
      </c>
      <c r="C154" s="90"/>
      <c r="D154" s="90"/>
      <c r="E154" s="90"/>
      <c r="F154" s="90"/>
      <c r="G154" s="90"/>
      <c r="H154" s="90"/>
      <c r="I154" s="90"/>
      <c r="J154" s="90"/>
      <c r="K154" s="90"/>
      <c r="L154" s="90"/>
      <c r="M154" s="90"/>
      <c r="N154" s="90"/>
      <c r="O154" s="90"/>
      <c r="P154" s="12"/>
      <c r="Q154" s="12"/>
      <c r="R154" s="12"/>
      <c r="S154" s="12"/>
      <c r="T154" s="118">
        <f>T$145*$P$140+T$146*$P$141</f>
        <v>2.4743400000000007</v>
      </c>
    </row>
    <row r="155" spans="1:22" s="522" customFormat="1" hidden="1" outlineLevel="1"/>
    <row r="156" spans="1:22" s="522" customFormat="1" hidden="1" outlineLevel="1">
      <c r="A156" s="1" t="s">
        <v>326</v>
      </c>
    </row>
    <row r="157" spans="1:22" s="522" customFormat="1" hidden="1" outlineLevel="1">
      <c r="A157" s="522" t="s">
        <v>632</v>
      </c>
    </row>
    <row r="158" spans="1:22" s="522" customFormat="1" hidden="1" outlineLevel="1">
      <c r="A158" s="9"/>
      <c r="B158" s="9"/>
      <c r="C158" s="9"/>
      <c r="D158" s="9"/>
      <c r="E158" s="9"/>
      <c r="F158" s="9"/>
      <c r="G158" s="9"/>
      <c r="H158" s="9"/>
      <c r="I158" s="9"/>
      <c r="J158" s="9"/>
      <c r="K158" s="9"/>
      <c r="L158" s="9"/>
      <c r="M158" s="9"/>
      <c r="N158" s="9"/>
      <c r="O158" s="9"/>
      <c r="P158" s="202"/>
      <c r="Q158" s="202"/>
      <c r="R158" s="202"/>
      <c r="S158" s="202"/>
      <c r="T158" s="202">
        <v>2019</v>
      </c>
    </row>
    <row r="159" spans="1:22" s="522" customFormat="1" ht="30" hidden="1" outlineLevel="1">
      <c r="A159" s="8" t="s">
        <v>122</v>
      </c>
      <c r="B159" s="205" t="s">
        <v>121</v>
      </c>
      <c r="C159" s="12"/>
      <c r="D159" s="12"/>
      <c r="E159" s="12"/>
      <c r="F159" s="12"/>
      <c r="G159" s="12"/>
      <c r="H159" s="12"/>
      <c r="I159" s="12"/>
      <c r="J159" s="12"/>
      <c r="K159" s="12"/>
      <c r="L159" s="12"/>
      <c r="M159" s="12"/>
      <c r="N159" s="12"/>
      <c r="O159" s="12"/>
      <c r="P159" s="12"/>
      <c r="Q159" s="12"/>
      <c r="R159" s="12"/>
      <c r="S159" s="12"/>
      <c r="T159" s="11">
        <v>0.81100964558971222</v>
      </c>
    </row>
    <row r="160" spans="1:22" s="522" customFormat="1" ht="30" hidden="1" outlineLevel="1">
      <c r="A160" s="8" t="s">
        <v>123</v>
      </c>
      <c r="B160" s="205" t="s">
        <v>121</v>
      </c>
      <c r="C160" s="12"/>
      <c r="D160" s="12"/>
      <c r="E160" s="12"/>
      <c r="F160" s="12"/>
      <c r="G160" s="12"/>
      <c r="H160" s="12"/>
      <c r="I160" s="12"/>
      <c r="J160" s="12"/>
      <c r="K160" s="12"/>
      <c r="L160" s="12"/>
      <c r="M160" s="12"/>
      <c r="N160" s="12"/>
      <c r="O160" s="12"/>
      <c r="P160" s="12"/>
      <c r="Q160" s="12"/>
      <c r="R160" s="12"/>
      <c r="S160" s="12"/>
      <c r="T160" s="11">
        <v>1.4541305064433745</v>
      </c>
    </row>
    <row r="161" spans="1:34" s="522" customFormat="1" hidden="1" outlineLevel="1">
      <c r="A161" s="35" t="s">
        <v>109</v>
      </c>
    </row>
    <row r="162" spans="1:34" s="522" customFormat="1" hidden="1" outlineLevel="1"/>
    <row r="163" spans="1:34" s="522" customFormat="1" collapsed="1"/>
    <row r="164" spans="1:34" s="522" customFormat="1">
      <c r="A164" s="1" t="s">
        <v>535</v>
      </c>
    </row>
    <row r="165" spans="1:34" s="522" customFormat="1">
      <c r="A165" s="715"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65" s="715"/>
      <c r="C165" s="715"/>
      <c r="D165" s="715"/>
      <c r="E165" s="715"/>
      <c r="F165" s="715"/>
      <c r="G165" s="715"/>
      <c r="H165" s="715"/>
      <c r="I165" s="715"/>
      <c r="J165" s="715"/>
      <c r="K165" s="715"/>
      <c r="L165" s="715"/>
      <c r="M165" s="715"/>
      <c r="N165" s="715"/>
      <c r="O165" s="715"/>
      <c r="P165" s="715"/>
      <c r="Q165" s="715"/>
      <c r="R165" s="715"/>
      <c r="S165" s="715"/>
      <c r="T165" s="715"/>
      <c r="U165" s="715"/>
      <c r="V165" s="715"/>
    </row>
    <row r="166" spans="1:34" s="613" customFormat="1">
      <c r="A166" s="715"/>
      <c r="B166" s="715"/>
      <c r="C166" s="715"/>
      <c r="D166" s="715"/>
      <c r="E166" s="715"/>
      <c r="F166" s="715"/>
      <c r="G166" s="715"/>
      <c r="H166" s="715"/>
      <c r="I166" s="715"/>
      <c r="J166" s="715"/>
      <c r="K166" s="715"/>
      <c r="L166" s="715"/>
      <c r="M166" s="715"/>
      <c r="N166" s="715"/>
      <c r="O166" s="715"/>
      <c r="P166" s="715"/>
      <c r="Q166" s="715"/>
      <c r="R166" s="715"/>
      <c r="S166" s="715"/>
      <c r="T166" s="715"/>
      <c r="U166" s="715"/>
      <c r="V166" s="715"/>
    </row>
    <row r="167" spans="1:34" s="613" customFormat="1" ht="15.75" thickBot="1">
      <c r="A167" s="715"/>
      <c r="B167" s="715"/>
      <c r="C167" s="715"/>
      <c r="D167" s="715"/>
      <c r="E167" s="715"/>
      <c r="F167" s="715"/>
      <c r="G167" s="715"/>
      <c r="H167" s="715"/>
      <c r="I167" s="715"/>
      <c r="J167" s="715"/>
      <c r="K167" s="715"/>
      <c r="L167" s="715"/>
      <c r="M167" s="715"/>
      <c r="N167" s="715"/>
      <c r="O167" s="715"/>
      <c r="P167" s="715"/>
      <c r="Q167" s="715"/>
      <c r="R167" s="715"/>
      <c r="S167" s="715"/>
      <c r="T167" s="715"/>
      <c r="U167" s="715"/>
      <c r="V167" s="715"/>
    </row>
    <row r="168" spans="1:34" s="613" customFormat="1" ht="15" customHeight="1">
      <c r="A168" s="673"/>
      <c r="B168" s="673"/>
      <c r="C168" s="673"/>
      <c r="D168" s="673"/>
      <c r="E168" s="673"/>
      <c r="F168" s="673"/>
      <c r="G168" s="673"/>
      <c r="H168" s="673"/>
      <c r="I168" s="673"/>
      <c r="J168" s="673"/>
      <c r="K168" s="673"/>
      <c r="L168" s="673"/>
      <c r="M168" s="673"/>
      <c r="N168" s="673"/>
      <c r="O168" s="673"/>
      <c r="P168" s="673"/>
      <c r="Q168" s="673"/>
      <c r="R168" s="673"/>
      <c r="S168" s="773" t="s">
        <v>528</v>
      </c>
      <c r="T168" s="774"/>
      <c r="U168" s="775"/>
      <c r="V168" s="673"/>
      <c r="W168" s="773" t="s">
        <v>528</v>
      </c>
      <c r="X168" s="774"/>
      <c r="Y168" s="775"/>
    </row>
    <row r="169" spans="1:34" s="235" customFormat="1">
      <c r="A169"/>
      <c r="B169"/>
      <c r="C169"/>
      <c r="D169"/>
      <c r="E169"/>
      <c r="F169"/>
      <c r="G169"/>
      <c r="H169"/>
      <c r="I169"/>
      <c r="J169"/>
      <c r="K169"/>
      <c r="L169"/>
      <c r="M169"/>
      <c r="N169"/>
      <c r="O169"/>
      <c r="P169"/>
      <c r="Q169"/>
      <c r="R169"/>
      <c r="S169" s="776"/>
      <c r="T169" s="777"/>
      <c r="U169" s="778"/>
      <c r="W169" s="776"/>
      <c r="X169" s="777"/>
      <c r="Y169" s="778"/>
      <c r="AA169" s="762" t="str">
        <f>$AA$81</f>
        <v xml:space="preserve">Według opracowania źródłowego, poniższe mnożniki dotyczą wszystkich kategorii kosztów użytkowników dróg, oprócz kosztów czasu. </v>
      </c>
      <c r="AB169" s="762"/>
      <c r="AC169" s="762"/>
      <c r="AD169" s="762"/>
      <c r="AE169" s="762"/>
      <c r="AF169" s="762"/>
      <c r="AG169" s="762"/>
      <c r="AH169" s="762"/>
    </row>
    <row r="170" spans="1:34" s="235" customFormat="1" ht="15.75" thickBot="1">
      <c r="A170"/>
      <c r="B170"/>
      <c r="C170"/>
      <c r="D170"/>
      <c r="E170"/>
      <c r="F170"/>
      <c r="G170"/>
      <c r="H170"/>
      <c r="I170"/>
      <c r="J170"/>
      <c r="K170"/>
      <c r="L170"/>
      <c r="M170"/>
      <c r="N170"/>
      <c r="O170"/>
      <c r="P170"/>
      <c r="Q170"/>
      <c r="R170"/>
      <c r="S170" s="754" t="s">
        <v>7</v>
      </c>
      <c r="T170" s="755"/>
      <c r="U170" s="756"/>
      <c r="W170" s="754" t="s">
        <v>7</v>
      </c>
      <c r="X170" s="755"/>
      <c r="Y170" s="756"/>
      <c r="AA170" s="762"/>
      <c r="AB170" s="762"/>
      <c r="AC170" s="762"/>
      <c r="AD170" s="762"/>
      <c r="AE170" s="762"/>
      <c r="AF170" s="762"/>
      <c r="AG170" s="762"/>
      <c r="AH170" s="762"/>
    </row>
    <row r="171" spans="1:34" s="235" customFormat="1" ht="15" customHeight="1">
      <c r="A171"/>
      <c r="B171"/>
      <c r="C171"/>
      <c r="D171"/>
      <c r="E171"/>
      <c r="F171"/>
      <c r="G171"/>
      <c r="H171"/>
      <c r="I171"/>
      <c r="J171"/>
      <c r="K171"/>
      <c r="L171"/>
      <c r="M171"/>
      <c r="N171"/>
      <c r="O171"/>
      <c r="P171"/>
      <c r="Q171"/>
      <c r="R171"/>
      <c r="S171" s="754" t="s">
        <v>8</v>
      </c>
      <c r="T171" s="755"/>
      <c r="U171" s="756"/>
      <c r="W171" s="754" t="s">
        <v>9</v>
      </c>
      <c r="X171" s="755"/>
      <c r="Y171" s="756"/>
      <c r="AA171" s="124" t="s">
        <v>45</v>
      </c>
      <c r="AB171" s="126"/>
      <c r="AC171" s="125"/>
      <c r="AD171" s="198"/>
    </row>
    <row r="172" spans="1:34" s="235" customFormat="1" ht="15.75" customHeight="1" thickBot="1">
      <c r="A172"/>
      <c r="B172"/>
      <c r="C172"/>
      <c r="D172"/>
      <c r="E172"/>
      <c r="F172"/>
      <c r="G172"/>
      <c r="H172"/>
      <c r="I172"/>
      <c r="J172"/>
      <c r="K172"/>
      <c r="L172"/>
      <c r="M172"/>
      <c r="N172"/>
      <c r="O172"/>
      <c r="P172"/>
      <c r="Q172"/>
      <c r="R172"/>
      <c r="S172" s="25" t="s">
        <v>11</v>
      </c>
      <c r="T172" s="20" t="s">
        <v>10</v>
      </c>
      <c r="U172" s="21" t="s">
        <v>6</v>
      </c>
      <c r="W172" s="25" t="s">
        <v>11</v>
      </c>
      <c r="X172" s="20" t="s">
        <v>10</v>
      </c>
      <c r="Y172" s="21" t="s">
        <v>6</v>
      </c>
      <c r="AA172" s="25" t="s">
        <v>11</v>
      </c>
      <c r="AB172" s="20" t="s">
        <v>10</v>
      </c>
      <c r="AC172" s="21" t="s">
        <v>6</v>
      </c>
      <c r="AD172" s="750" t="str">
        <f>$AD$84</f>
        <v xml:space="preserve">Mnożniki te należy stosować do łącznych VOC (nie tylko do kosztów zużycia paliwa lub energii elektrycznej). </v>
      </c>
      <c r="AE172" s="751"/>
      <c r="AF172" s="751"/>
      <c r="AG172" s="751"/>
      <c r="AH172" s="547"/>
    </row>
    <row r="173" spans="1:34" s="235" customFormat="1">
      <c r="A173"/>
      <c r="B173"/>
      <c r="C173"/>
      <c r="D173"/>
      <c r="E173"/>
      <c r="F173"/>
      <c r="G173"/>
      <c r="H173"/>
      <c r="I173"/>
      <c r="J173"/>
      <c r="K173"/>
      <c r="L173"/>
      <c r="M173"/>
      <c r="N173"/>
      <c r="O173"/>
      <c r="P173"/>
      <c r="Q173"/>
      <c r="R173"/>
      <c r="S173" s="237" t="s">
        <v>14</v>
      </c>
      <c r="T173" s="238">
        <f t="shared" ref="T173:T186" si="38">($T$159+$T85*$T$153)</f>
        <v>1.4063568455294975</v>
      </c>
      <c r="U173" s="239">
        <f t="shared" ref="U173:U186" si="39">($T$160+$U85*$T$154)</f>
        <v>2.9781794511564383</v>
      </c>
      <c r="W173" s="237" t="s">
        <v>14</v>
      </c>
      <c r="X173" s="238">
        <f>T173*$AB173</f>
        <v>1.564571990651566</v>
      </c>
      <c r="Y173" s="239">
        <f>U173*$AC173</f>
        <v>3.3504518825509932</v>
      </c>
      <c r="AA173" s="22">
        <f t="shared" ref="AA173:AC186" si="40">AA85</f>
        <v>5</v>
      </c>
      <c r="AB173" s="94">
        <f t="shared" si="40"/>
        <v>1.1125</v>
      </c>
      <c r="AC173" s="95">
        <f t="shared" si="40"/>
        <v>1.125</v>
      </c>
      <c r="AD173" s="750"/>
      <c r="AE173" s="751"/>
      <c r="AF173" s="751"/>
      <c r="AG173" s="751"/>
      <c r="AH173" s="547"/>
    </row>
    <row r="174" spans="1:34" s="235" customFormat="1">
      <c r="A174"/>
      <c r="B174"/>
      <c r="C174"/>
      <c r="D174"/>
      <c r="E174"/>
      <c r="F174"/>
      <c r="G174"/>
      <c r="H174"/>
      <c r="I174"/>
      <c r="J174"/>
      <c r="K174"/>
      <c r="L174"/>
      <c r="M174"/>
      <c r="N174"/>
      <c r="O174"/>
      <c r="P174"/>
      <c r="Q174"/>
      <c r="R174"/>
      <c r="S174" s="23" t="s">
        <v>27</v>
      </c>
      <c r="T174" s="96">
        <f t="shared" si="38"/>
        <v>1.188069606298491</v>
      </c>
      <c r="U174" s="97">
        <f t="shared" si="39"/>
        <v>2.3029407221610732</v>
      </c>
      <c r="W174" s="23" t="s">
        <v>27</v>
      </c>
      <c r="X174" s="96">
        <f t="shared" ref="X174:X186" si="41">T174*$AB174</f>
        <v>1.3217274370070713</v>
      </c>
      <c r="Y174" s="97">
        <f t="shared" ref="Y174:Y186" si="42">U174*$AC174</f>
        <v>2.5908083124312071</v>
      </c>
      <c r="AA174" s="23">
        <f t="shared" si="40"/>
        <v>15</v>
      </c>
      <c r="AB174" s="96">
        <f t="shared" si="40"/>
        <v>1.1125</v>
      </c>
      <c r="AC174" s="97">
        <f t="shared" si="40"/>
        <v>1.125</v>
      </c>
      <c r="AD174" s="750"/>
      <c r="AE174" s="751"/>
      <c r="AF174" s="751"/>
      <c r="AG174" s="751"/>
      <c r="AH174" s="547"/>
    </row>
    <row r="175" spans="1:34" s="235" customFormat="1">
      <c r="A175"/>
      <c r="B175"/>
      <c r="C175"/>
      <c r="D175"/>
      <c r="E175"/>
      <c r="F175"/>
      <c r="G175"/>
      <c r="H175"/>
      <c r="I175"/>
      <c r="J175"/>
      <c r="K175"/>
      <c r="L175"/>
      <c r="M175"/>
      <c r="N175"/>
      <c r="O175"/>
      <c r="P175"/>
      <c r="Q175"/>
      <c r="R175"/>
      <c r="S175" s="23" t="s">
        <v>28</v>
      </c>
      <c r="T175" s="96">
        <f t="shared" si="38"/>
        <v>1.0982977522558213</v>
      </c>
      <c r="U175" s="97">
        <f t="shared" si="39"/>
        <v>2.0996974545050899</v>
      </c>
      <c r="W175" s="23" t="s">
        <v>28</v>
      </c>
      <c r="X175" s="96">
        <f t="shared" si="41"/>
        <v>1.2218562493846012</v>
      </c>
      <c r="Y175" s="97">
        <f t="shared" si="42"/>
        <v>2.3621596363182262</v>
      </c>
      <c r="AA175" s="23">
        <f t="shared" si="40"/>
        <v>25</v>
      </c>
      <c r="AB175" s="96">
        <f t="shared" si="40"/>
        <v>1.1125</v>
      </c>
      <c r="AC175" s="97">
        <f t="shared" si="40"/>
        <v>1.125</v>
      </c>
      <c r="AD175" s="198"/>
    </row>
    <row r="176" spans="1:34" s="235" customFormat="1">
      <c r="A176"/>
      <c r="B176"/>
      <c r="C176"/>
      <c r="D176"/>
      <c r="E176"/>
      <c r="F176"/>
      <c r="G176"/>
      <c r="H176"/>
      <c r="I176"/>
      <c r="J176"/>
      <c r="K176"/>
      <c r="L176"/>
      <c r="M176"/>
      <c r="N176"/>
      <c r="O176"/>
      <c r="P176"/>
      <c r="Q176"/>
      <c r="R176"/>
      <c r="S176" s="23" t="s">
        <v>29</v>
      </c>
      <c r="T176" s="96">
        <f t="shared" si="38"/>
        <v>1.0443293612144235</v>
      </c>
      <c r="U176" s="97">
        <f t="shared" si="39"/>
        <v>1.9965228984518499</v>
      </c>
      <c r="W176" s="23" t="s">
        <v>29</v>
      </c>
      <c r="X176" s="96">
        <f t="shared" si="41"/>
        <v>1.1618164143510463</v>
      </c>
      <c r="Y176" s="97">
        <f t="shared" si="42"/>
        <v>2.2460882607583312</v>
      </c>
      <c r="AA176" s="23">
        <f t="shared" si="40"/>
        <v>35</v>
      </c>
      <c r="AB176" s="96">
        <f t="shared" si="40"/>
        <v>1.1125</v>
      </c>
      <c r="AC176" s="97">
        <f t="shared" si="40"/>
        <v>1.125</v>
      </c>
      <c r="AD176" s="198"/>
    </row>
    <row r="177" spans="1:30" s="235" customFormat="1">
      <c r="A177"/>
      <c r="B177"/>
      <c r="C177"/>
      <c r="D177"/>
      <c r="E177"/>
      <c r="F177"/>
      <c r="G177"/>
      <c r="H177"/>
      <c r="I177"/>
      <c r="J177"/>
      <c r="K177"/>
      <c r="L177"/>
      <c r="M177"/>
      <c r="N177"/>
      <c r="O177"/>
      <c r="P177"/>
      <c r="Q177"/>
      <c r="R177"/>
      <c r="S177" s="23" t="s">
        <v>30</v>
      </c>
      <c r="T177" s="96">
        <f t="shared" si="38"/>
        <v>1.0086636851087851</v>
      </c>
      <c r="U177" s="97">
        <f t="shared" si="39"/>
        <v>1.939886399703517</v>
      </c>
      <c r="W177" s="23" t="s">
        <v>30</v>
      </c>
      <c r="X177" s="96">
        <f t="shared" si="41"/>
        <v>1.1221383496835236</v>
      </c>
      <c r="Y177" s="97">
        <f t="shared" si="42"/>
        <v>2.1823721996664567</v>
      </c>
      <c r="AA177" s="23">
        <f t="shared" si="40"/>
        <v>45</v>
      </c>
      <c r="AB177" s="96">
        <f t="shared" si="40"/>
        <v>1.1125</v>
      </c>
      <c r="AC177" s="97">
        <f t="shared" si="40"/>
        <v>1.125</v>
      </c>
      <c r="AD177" s="198"/>
    </row>
    <row r="178" spans="1:30" s="235" customFormat="1">
      <c r="A178"/>
      <c r="B178"/>
      <c r="C178"/>
      <c r="D178"/>
      <c r="E178"/>
      <c r="F178"/>
      <c r="G178"/>
      <c r="H178"/>
      <c r="I178"/>
      <c r="J178"/>
      <c r="K178"/>
      <c r="L178"/>
      <c r="M178"/>
      <c r="N178"/>
      <c r="O178"/>
      <c r="P178"/>
      <c r="Q178"/>
      <c r="R178"/>
      <c r="S178" s="23" t="s">
        <v>31</v>
      </c>
      <c r="T178" s="96">
        <f t="shared" si="38"/>
        <v>0.98484692600559387</v>
      </c>
      <c r="U178" s="97">
        <f t="shared" si="39"/>
        <v>1.9097575991734939</v>
      </c>
      <c r="W178" s="23" t="s">
        <v>31</v>
      </c>
      <c r="X178" s="96">
        <f t="shared" si="41"/>
        <v>1.1141080850438281</v>
      </c>
      <c r="Y178" s="97">
        <f t="shared" si="42"/>
        <v>2.1882639157196282</v>
      </c>
      <c r="AA178" s="23">
        <f t="shared" si="40"/>
        <v>55</v>
      </c>
      <c r="AB178" s="96">
        <f t="shared" si="40"/>
        <v>1.1312500000000001</v>
      </c>
      <c r="AC178" s="97">
        <f t="shared" si="40"/>
        <v>1.1458333333333333</v>
      </c>
      <c r="AD178" s="198"/>
    </row>
    <row r="179" spans="1:30" s="235" customFormat="1">
      <c r="A179"/>
      <c r="B179"/>
      <c r="C179"/>
      <c r="D179"/>
      <c r="E179"/>
      <c r="F179"/>
      <c r="G179"/>
      <c r="H179"/>
      <c r="I179"/>
      <c r="J179"/>
      <c r="K179"/>
      <c r="L179"/>
      <c r="M179"/>
      <c r="N179"/>
      <c r="O179"/>
      <c r="P179"/>
      <c r="Q179"/>
      <c r="R179"/>
      <c r="S179" s="23" t="s">
        <v>32</v>
      </c>
      <c r="T179" s="96">
        <f t="shared" si="38"/>
        <v>0.96975015681767085</v>
      </c>
      <c r="U179" s="97">
        <f t="shared" si="39"/>
        <v>1.8956275255604569</v>
      </c>
      <c r="W179" s="23" t="s">
        <v>32</v>
      </c>
      <c r="X179" s="96">
        <f t="shared" si="41"/>
        <v>1.1152126803403215</v>
      </c>
      <c r="Y179" s="97">
        <f t="shared" si="42"/>
        <v>2.2115654464871999</v>
      </c>
      <c r="AA179" s="23">
        <f t="shared" si="40"/>
        <v>65</v>
      </c>
      <c r="AB179" s="96">
        <f t="shared" si="40"/>
        <v>1.1500000000000001</v>
      </c>
      <c r="AC179" s="97">
        <f t="shared" si="40"/>
        <v>1.1666666666666667</v>
      </c>
      <c r="AD179" s="198"/>
    </row>
    <row r="180" spans="1:30" s="235" customFormat="1">
      <c r="A180"/>
      <c r="B180"/>
      <c r="C180"/>
      <c r="D180"/>
      <c r="E180"/>
      <c r="F180"/>
      <c r="G180"/>
      <c r="H180"/>
      <c r="I180"/>
      <c r="J180"/>
      <c r="K180"/>
      <c r="L180"/>
      <c r="M180"/>
      <c r="N180"/>
      <c r="O180"/>
      <c r="P180"/>
      <c r="Q180"/>
      <c r="R180"/>
      <c r="S180" s="23" t="s">
        <v>33</v>
      </c>
      <c r="T180" s="96">
        <f t="shared" si="38"/>
        <v>0.96159785627392647</v>
      </c>
      <c r="U180" s="97">
        <f t="shared" si="39"/>
        <v>1.8917762673720642</v>
      </c>
      <c r="W180" s="23" t="s">
        <v>33</v>
      </c>
      <c r="X180" s="96">
        <f t="shared" si="41"/>
        <v>1.1238674945201517</v>
      </c>
      <c r="Y180" s="97">
        <f t="shared" si="42"/>
        <v>2.2464843175043261</v>
      </c>
      <c r="AA180" s="23">
        <f t="shared" si="40"/>
        <v>75</v>
      </c>
      <c r="AB180" s="96">
        <f t="shared" si="40"/>
        <v>1.1687500000000002</v>
      </c>
      <c r="AC180" s="97">
        <f t="shared" si="40"/>
        <v>1.1875</v>
      </c>
      <c r="AD180" s="198"/>
    </row>
    <row r="181" spans="1:30" s="235" customFormat="1">
      <c r="A181"/>
      <c r="B181"/>
      <c r="C181"/>
      <c r="D181"/>
      <c r="E181"/>
      <c r="F181"/>
      <c r="G181"/>
      <c r="H181"/>
      <c r="I181"/>
      <c r="J181"/>
      <c r="K181"/>
      <c r="L181"/>
      <c r="M181"/>
      <c r="N181"/>
      <c r="O181"/>
      <c r="P181"/>
      <c r="Q181"/>
      <c r="R181"/>
      <c r="S181" s="99" t="s">
        <v>34</v>
      </c>
      <c r="T181" s="100">
        <f t="shared" si="38"/>
        <v>0.95927229155675042</v>
      </c>
      <c r="U181" s="98">
        <f t="shared" si="39"/>
        <v>1.8960749225492468</v>
      </c>
      <c r="W181" s="99" t="s">
        <v>34</v>
      </c>
      <c r="X181" s="100">
        <f t="shared" si="41"/>
        <v>1.1391358462236412</v>
      </c>
      <c r="Y181" s="98">
        <f t="shared" si="42"/>
        <v>2.2910905314136731</v>
      </c>
      <c r="AA181" s="99">
        <f t="shared" si="40"/>
        <v>85</v>
      </c>
      <c r="AB181" s="96">
        <f t="shared" si="40"/>
        <v>1.1875</v>
      </c>
      <c r="AC181" s="97">
        <f t="shared" si="40"/>
        <v>1.2083333333333333</v>
      </c>
      <c r="AD181" s="198"/>
    </row>
    <row r="182" spans="1:30" s="235" customFormat="1">
      <c r="A182"/>
      <c r="B182"/>
      <c r="C182"/>
      <c r="D182"/>
      <c r="E182"/>
      <c r="F182"/>
      <c r="G182"/>
      <c r="H182"/>
      <c r="I182"/>
      <c r="J182"/>
      <c r="K182"/>
      <c r="L182"/>
      <c r="M182"/>
      <c r="N182"/>
      <c r="O182"/>
      <c r="P182"/>
      <c r="Q182"/>
      <c r="R182"/>
      <c r="S182" s="99" t="s">
        <v>35</v>
      </c>
      <c r="T182" s="100">
        <f t="shared" si="38"/>
        <v>0.96201579124774828</v>
      </c>
      <c r="U182" s="98">
        <f t="shared" si="39"/>
        <v>1.9124682866743843</v>
      </c>
      <c r="W182" s="99" t="s">
        <v>35</v>
      </c>
      <c r="X182" s="100">
        <f t="shared" si="41"/>
        <v>1.1604315481925964</v>
      </c>
      <c r="Y182" s="98">
        <f t="shared" si="42"/>
        <v>2.3507422690372644</v>
      </c>
      <c r="AA182" s="99">
        <f t="shared" si="40"/>
        <v>95</v>
      </c>
      <c r="AB182" s="96">
        <f t="shared" si="40"/>
        <v>1.20625</v>
      </c>
      <c r="AC182" s="97">
        <f t="shared" si="40"/>
        <v>1.2291666666666667</v>
      </c>
      <c r="AD182" s="198"/>
    </row>
    <row r="183" spans="1:30" s="235" customFormat="1">
      <c r="A183"/>
      <c r="B183"/>
      <c r="C183"/>
      <c r="D183"/>
      <c r="E183"/>
      <c r="F183"/>
      <c r="G183"/>
      <c r="H183"/>
      <c r="I183"/>
      <c r="J183"/>
      <c r="K183"/>
      <c r="L183"/>
      <c r="M183"/>
      <c r="N183"/>
      <c r="O183"/>
      <c r="P183"/>
      <c r="Q183"/>
      <c r="R183"/>
      <c r="S183" s="99" t="s">
        <v>36</v>
      </c>
      <c r="T183" s="100">
        <f t="shared" si="38"/>
        <v>0.96928546489962053</v>
      </c>
      <c r="U183" s="98">
        <f t="shared" si="39"/>
        <v>1.9817147269141757</v>
      </c>
      <c r="W183" s="99" t="s">
        <v>36</v>
      </c>
      <c r="X183" s="100">
        <f t="shared" si="41"/>
        <v>1.1873746945020351</v>
      </c>
      <c r="Y183" s="98">
        <f t="shared" si="42"/>
        <v>2.4771434086427195</v>
      </c>
      <c r="AA183" s="99">
        <f t="shared" si="40"/>
        <v>105</v>
      </c>
      <c r="AB183" s="100">
        <f t="shared" si="40"/>
        <v>1.2250000000000001</v>
      </c>
      <c r="AC183" s="98">
        <f t="shared" si="40"/>
        <v>1.25</v>
      </c>
      <c r="AD183" s="198"/>
    </row>
    <row r="184" spans="1:30" s="235" customFormat="1">
      <c r="A184"/>
      <c r="B184"/>
      <c r="C184"/>
      <c r="D184"/>
      <c r="E184"/>
      <c r="F184"/>
      <c r="G184"/>
      <c r="H184"/>
      <c r="I184"/>
      <c r="J184"/>
      <c r="K184"/>
      <c r="L184"/>
      <c r="M184"/>
      <c r="N184"/>
      <c r="O184"/>
      <c r="P184"/>
      <c r="Q184"/>
      <c r="R184"/>
      <c r="S184" s="99" t="s">
        <v>37</v>
      </c>
      <c r="T184" s="100">
        <f t="shared" si="38"/>
        <v>0.98067518692336375</v>
      </c>
      <c r="U184" s="98">
        <f t="shared" si="39"/>
        <v>2.0509611671539671</v>
      </c>
      <c r="W184" s="99" t="s">
        <v>37</v>
      </c>
      <c r="X184" s="100">
        <f t="shared" si="41"/>
        <v>1.2013271039811206</v>
      </c>
      <c r="Y184" s="98">
        <f t="shared" si="42"/>
        <v>2.5637014589424592</v>
      </c>
      <c r="AA184" s="99">
        <f t="shared" si="40"/>
        <v>115</v>
      </c>
      <c r="AB184" s="100">
        <f t="shared" si="40"/>
        <v>1.2250000000000001</v>
      </c>
      <c r="AC184" s="98">
        <f t="shared" si="40"/>
        <v>1.25</v>
      </c>
      <c r="AD184" s="198"/>
    </row>
    <row r="185" spans="1:30" s="235" customFormat="1">
      <c r="A185"/>
      <c r="B185"/>
      <c r="C185"/>
      <c r="D185"/>
      <c r="E185"/>
      <c r="F185"/>
      <c r="G185"/>
      <c r="H185"/>
      <c r="I185"/>
      <c r="J185"/>
      <c r="K185"/>
      <c r="L185"/>
      <c r="M185"/>
      <c r="N185"/>
      <c r="O185"/>
      <c r="P185"/>
      <c r="Q185"/>
      <c r="R185"/>
      <c r="S185" s="23" t="s">
        <v>38</v>
      </c>
      <c r="T185" s="96">
        <f t="shared" si="38"/>
        <v>0.995870511767317</v>
      </c>
      <c r="U185" s="98">
        <f t="shared" si="39"/>
        <v>2.1202076073937581</v>
      </c>
      <c r="W185" s="23" t="s">
        <v>38</v>
      </c>
      <c r="X185" s="96">
        <f t="shared" si="41"/>
        <v>1.2199413769149634</v>
      </c>
      <c r="Y185" s="98">
        <f t="shared" si="42"/>
        <v>2.6502595092421979</v>
      </c>
      <c r="AA185" s="23">
        <f t="shared" si="40"/>
        <v>125</v>
      </c>
      <c r="AB185" s="100">
        <f t="shared" si="40"/>
        <v>1.2250000000000001</v>
      </c>
      <c r="AC185" s="98">
        <f t="shared" si="40"/>
        <v>1.25</v>
      </c>
      <c r="AD185" s="198"/>
    </row>
    <row r="186" spans="1:30" s="235" customFormat="1" ht="15.75" thickBot="1">
      <c r="A186"/>
      <c r="B186"/>
      <c r="C186"/>
      <c r="D186"/>
      <c r="E186"/>
      <c r="F186"/>
      <c r="G186"/>
      <c r="H186"/>
      <c r="I186"/>
      <c r="J186"/>
      <c r="K186"/>
      <c r="L186"/>
      <c r="M186"/>
      <c r="N186"/>
      <c r="O186"/>
      <c r="P186"/>
      <c r="Q186"/>
      <c r="R186"/>
      <c r="S186" s="24" t="s">
        <v>15</v>
      </c>
      <c r="T186" s="240">
        <f t="shared" si="38"/>
        <v>1.0146210585896995</v>
      </c>
      <c r="U186" s="123">
        <f t="shared" si="39"/>
        <v>2.1894540476335491</v>
      </c>
      <c r="W186" s="24" t="s">
        <v>15</v>
      </c>
      <c r="X186" s="240">
        <f t="shared" si="41"/>
        <v>1.242910796772382</v>
      </c>
      <c r="Y186" s="123">
        <f t="shared" si="42"/>
        <v>2.7368175595419366</v>
      </c>
      <c r="AA186" s="24">
        <f t="shared" si="40"/>
        <v>135</v>
      </c>
      <c r="AB186" s="127">
        <f t="shared" si="40"/>
        <v>1.2250000000000001</v>
      </c>
      <c r="AC186" s="123">
        <f t="shared" si="40"/>
        <v>1.25</v>
      </c>
      <c r="AD186" s="198"/>
    </row>
    <row r="187" spans="1:30" s="235" customFormat="1">
      <c r="A187"/>
      <c r="B187"/>
      <c r="C187"/>
      <c r="D187"/>
      <c r="E187"/>
      <c r="F187"/>
      <c r="G187"/>
      <c r="H187"/>
      <c r="I187"/>
      <c r="J187"/>
      <c r="K187"/>
      <c r="L187"/>
      <c r="M187"/>
      <c r="N187"/>
      <c r="O187"/>
      <c r="P187"/>
      <c r="Q187"/>
      <c r="R187"/>
      <c r="S187" s="35" t="s">
        <v>109</v>
      </c>
      <c r="AA187" s="208" t="str">
        <f>$AA$99</f>
        <v>Źródło: Obliczenia własne na podstawie "Optimisation of Maintenance", OECD/ITF 2012, str. 12</v>
      </c>
      <c r="AB187" s="522"/>
      <c r="AC187" s="522"/>
      <c r="AD187" s="233"/>
    </row>
    <row r="188" spans="1:30" s="235" customFormat="1">
      <c r="A188"/>
      <c r="B188"/>
      <c r="C188"/>
      <c r="D188"/>
      <c r="E188"/>
      <c r="F188"/>
      <c r="G188"/>
      <c r="H188"/>
      <c r="I188"/>
      <c r="J188"/>
      <c r="K188"/>
      <c r="L188"/>
      <c r="M188"/>
      <c r="N188"/>
      <c r="O188"/>
      <c r="P188"/>
      <c r="Q188"/>
      <c r="R188"/>
      <c r="S188" s="348" t="s">
        <v>175</v>
      </c>
      <c r="AA188" s="233"/>
    </row>
    <row r="189" spans="1:30" s="235" customFormat="1">
      <c r="A189"/>
      <c r="B189"/>
      <c r="C189"/>
      <c r="D189"/>
      <c r="E189"/>
      <c r="F189"/>
      <c r="G189"/>
      <c r="H189"/>
      <c r="I189"/>
      <c r="J189"/>
      <c r="K189"/>
      <c r="L189"/>
      <c r="M189"/>
      <c r="N189"/>
      <c r="O189"/>
      <c r="P189"/>
      <c r="Q189"/>
      <c r="R189"/>
      <c r="S189" s="349" t="s">
        <v>634</v>
      </c>
      <c r="AA189" s="233"/>
    </row>
    <row r="190" spans="1:30" s="235" customFormat="1">
      <c r="A190"/>
      <c r="B190"/>
      <c r="C190"/>
      <c r="D190"/>
      <c r="E190"/>
      <c r="F190"/>
      <c r="G190"/>
      <c r="H190"/>
      <c r="I190"/>
      <c r="J190"/>
      <c r="K190"/>
      <c r="L190"/>
      <c r="M190"/>
      <c r="N190"/>
      <c r="O190"/>
      <c r="P190"/>
      <c r="Q190"/>
      <c r="R190"/>
      <c r="S190" s="349" t="s">
        <v>635</v>
      </c>
      <c r="T190"/>
      <c r="U190"/>
      <c r="V190"/>
      <c r="W190"/>
      <c r="X190"/>
      <c r="Y190"/>
      <c r="Z190"/>
      <c r="AA190"/>
    </row>
    <row r="191" spans="1:30" s="613" customFormat="1">
      <c r="S191" s="770" t="s">
        <v>636</v>
      </c>
      <c r="T191" s="770"/>
      <c r="U191" s="770"/>
      <c r="V191" s="770"/>
      <c r="W191" s="770"/>
      <c r="X191" s="770"/>
      <c r="Y191" s="770"/>
      <c r="Z191" s="770"/>
    </row>
    <row r="192" spans="1:30" s="613" customFormat="1">
      <c r="S192" s="770"/>
      <c r="T192" s="770"/>
      <c r="U192" s="770"/>
      <c r="V192" s="770"/>
      <c r="W192" s="770"/>
      <c r="X192" s="770"/>
      <c r="Y192" s="770"/>
      <c r="Z192" s="770"/>
    </row>
    <row r="193" spans="1:28" s="335" customFormat="1" ht="15" customHeight="1"/>
    <row r="194" spans="1:28" s="335" customFormat="1" ht="15" customHeight="1"/>
    <row r="195" spans="1:28" s="335" customFormat="1" ht="15" customHeight="1"/>
    <row r="196" spans="1:28" s="335" customFormat="1" ht="15" customHeight="1"/>
    <row r="197" spans="1:28" s="335" customFormat="1" ht="15" customHeight="1"/>
    <row r="198" spans="1:28">
      <c r="A198" s="715" t="str">
        <f>$A$105</f>
        <v xml:space="preserve">Dodatkowo, dla dróg w terenie falistym (tzn. jeśli nachylenie podłużne drogi wynosi pomiędzy 2% i 6%), należy przemnożyć wartości dla terenu płaskiego przez poniższe współczynniki. </v>
      </c>
      <c r="B198" s="715"/>
      <c r="C198" s="715"/>
      <c r="D198" s="715"/>
      <c r="E198" s="715"/>
      <c r="F198" s="715"/>
      <c r="G198" s="715"/>
      <c r="H198" s="715"/>
      <c r="I198" s="715"/>
      <c r="J198" s="715"/>
      <c r="K198" s="715"/>
      <c r="L198" s="715"/>
      <c r="M198" s="715"/>
      <c r="N198" s="715"/>
      <c r="O198" s="715"/>
      <c r="P198" s="715"/>
      <c r="Q198" s="715"/>
      <c r="R198" s="715"/>
      <c r="S198" s="715"/>
      <c r="T198" s="715"/>
      <c r="U198" s="715"/>
      <c r="V198" s="715"/>
    </row>
    <row r="199" spans="1:28" s="613" customFormat="1">
      <c r="A199" s="715"/>
      <c r="B199" s="715"/>
      <c r="C199" s="715"/>
      <c r="D199" s="715"/>
      <c r="E199" s="715"/>
      <c r="F199" s="715"/>
      <c r="G199" s="715"/>
      <c r="H199" s="715"/>
      <c r="I199" s="715"/>
      <c r="J199" s="715"/>
      <c r="K199" s="715"/>
      <c r="L199" s="715"/>
      <c r="M199" s="715"/>
      <c r="N199" s="715"/>
      <c r="O199" s="715"/>
      <c r="P199" s="715"/>
      <c r="Q199" s="715"/>
      <c r="R199" s="715"/>
      <c r="S199" s="715"/>
      <c r="T199" s="715"/>
      <c r="U199" s="715"/>
      <c r="V199" s="715"/>
    </row>
    <row r="200" spans="1:28">
      <c r="A200" s="715" t="str">
        <f>$A$107</f>
        <v xml:space="preserve">Pominięto współczynniki dla dróg w terenie górskim, tj. o nachyleniu podłużnym powyżej 6%, ponieważ nie mają one istotnego znaczenia dla oceny przez CUPT projektów transportowych realizowanych w Polsce. </v>
      </c>
      <c r="B200" s="715"/>
      <c r="C200" s="715"/>
      <c r="D200" s="715"/>
      <c r="E200" s="715"/>
      <c r="F200" s="715"/>
      <c r="G200" s="715"/>
      <c r="H200" s="715"/>
      <c r="I200" s="715"/>
      <c r="J200" s="715"/>
      <c r="K200" s="715"/>
      <c r="L200" s="715"/>
      <c r="M200" s="715"/>
      <c r="N200" s="715"/>
      <c r="O200" s="715"/>
      <c r="P200" s="715"/>
      <c r="Q200" s="715"/>
      <c r="R200" s="715"/>
      <c r="S200" s="715"/>
      <c r="T200" s="715"/>
      <c r="U200" s="715"/>
      <c r="V200" s="715"/>
    </row>
    <row r="201" spans="1:28" s="613" customFormat="1">
      <c r="A201" s="715"/>
      <c r="B201" s="715"/>
      <c r="C201" s="715"/>
      <c r="D201" s="715"/>
      <c r="E201" s="715"/>
      <c r="F201" s="715"/>
      <c r="G201" s="715"/>
      <c r="H201" s="715"/>
      <c r="I201" s="715"/>
      <c r="J201" s="715"/>
      <c r="K201" s="715"/>
      <c r="L201" s="715"/>
      <c r="M201" s="715"/>
      <c r="N201" s="715"/>
      <c r="O201" s="715"/>
      <c r="P201" s="715"/>
      <c r="Q201" s="715"/>
      <c r="R201" s="715"/>
      <c r="S201" s="715"/>
      <c r="T201" s="715"/>
      <c r="U201" s="715"/>
      <c r="V201" s="715"/>
    </row>
    <row r="202" spans="1:28" s="546" customFormat="1" ht="15.75" thickBot="1">
      <c r="A202" s="546" t="str">
        <f>$A$109</f>
        <v xml:space="preserve">Mnożniki te należy stosować do łącznych VOC (nie tylko do kosztów zużycia paliwa lub energii elektrycznej). </v>
      </c>
    </row>
    <row r="203" spans="1:28" ht="15" customHeight="1">
      <c r="S203" s="124" t="str">
        <f>$S$110</f>
        <v>Mnożniki nachylenia podłużnego drogi</v>
      </c>
      <c r="T203" s="126"/>
      <c r="U203" s="125"/>
      <c r="V203" s="544"/>
    </row>
    <row r="204" spans="1:28" ht="15.75" thickBot="1">
      <c r="S204" s="32" t="s">
        <v>43</v>
      </c>
      <c r="T204" s="33" t="s">
        <v>10</v>
      </c>
      <c r="U204" s="34" t="s">
        <v>6</v>
      </c>
      <c r="V204" s="545"/>
    </row>
    <row r="205" spans="1:28">
      <c r="S205" s="26" t="s">
        <v>13</v>
      </c>
      <c r="T205" s="30">
        <f>$T$112</f>
        <v>1</v>
      </c>
      <c r="U205" s="31">
        <f>U112</f>
        <v>1</v>
      </c>
    </row>
    <row r="206" spans="1:28" ht="15.75" thickBot="1">
      <c r="S206" s="27" t="s">
        <v>12</v>
      </c>
      <c r="T206" s="28">
        <f>$T$113</f>
        <v>1.0316643084185093</v>
      </c>
      <c r="U206" s="29">
        <f>$U$113</f>
        <v>1.1996070463245994</v>
      </c>
    </row>
    <row r="207" spans="1:28">
      <c r="S207" s="35" t="str">
        <f>$S$114</f>
        <v>Źródło: Obliczenia własne</v>
      </c>
      <c r="T207" s="195"/>
      <c r="U207" s="195"/>
    </row>
    <row r="208" spans="1:28" s="557" customFormat="1">
      <c r="S208" s="772" t="str">
        <f>$S$115</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08" s="772"/>
      <c r="U208" s="772"/>
      <c r="V208" s="772"/>
      <c r="W208" s="772"/>
      <c r="X208" s="772"/>
      <c r="Y208" s="772"/>
      <c r="Z208" s="772"/>
      <c r="AA208" s="772"/>
      <c r="AB208" s="772"/>
    </row>
    <row r="209" spans="1:61" s="613" customFormat="1">
      <c r="S209" s="772"/>
      <c r="T209" s="772"/>
      <c r="U209" s="772"/>
      <c r="V209" s="772"/>
      <c r="W209" s="772"/>
      <c r="X209" s="772"/>
      <c r="Y209" s="772"/>
      <c r="Z209" s="772"/>
      <c r="AA209" s="772"/>
      <c r="AB209" s="772"/>
    </row>
    <row r="210" spans="1:61" s="613" customFormat="1">
      <c r="S210" s="772"/>
      <c r="T210" s="772"/>
      <c r="U210" s="772"/>
      <c r="V210" s="772"/>
      <c r="W210" s="772"/>
      <c r="X210" s="772"/>
      <c r="Y210" s="772"/>
      <c r="Z210" s="772"/>
      <c r="AA210" s="772"/>
      <c r="AB210" s="772"/>
    </row>
    <row r="211" spans="1:61" s="613" customFormat="1">
      <c r="S211" s="35"/>
      <c r="T211" s="195"/>
      <c r="U211" s="195"/>
    </row>
    <row r="212" spans="1:61"/>
    <row r="213" spans="1:61">
      <c r="A213" s="9" t="s">
        <v>312</v>
      </c>
      <c r="B213" s="6"/>
      <c r="C213" s="6"/>
      <c r="D213" s="6"/>
      <c r="E213" s="6"/>
      <c r="F213" s="6"/>
      <c r="G213" s="6"/>
      <c r="H213" s="6"/>
      <c r="I213" s="6"/>
      <c r="J213" s="6"/>
      <c r="K213" s="6"/>
      <c r="L213" s="6"/>
      <c r="M213" s="6"/>
      <c r="N213" s="6"/>
      <c r="O213" s="6"/>
      <c r="P213" s="6"/>
      <c r="Q213" s="6"/>
      <c r="R213" s="6"/>
      <c r="S213" s="6"/>
      <c r="T213" s="6">
        <v>2019</v>
      </c>
      <c r="U213" s="6">
        <f t="shared" ref="U213:BI213" si="43">T213+1</f>
        <v>2020</v>
      </c>
      <c r="V213" s="6">
        <f t="shared" si="43"/>
        <v>2021</v>
      </c>
      <c r="W213" s="6">
        <f t="shared" si="43"/>
        <v>2022</v>
      </c>
      <c r="X213" s="6">
        <f t="shared" si="43"/>
        <v>2023</v>
      </c>
      <c r="Y213" s="6">
        <f t="shared" si="43"/>
        <v>2024</v>
      </c>
      <c r="Z213" s="6">
        <f t="shared" si="43"/>
        <v>2025</v>
      </c>
      <c r="AA213" s="6">
        <f t="shared" si="43"/>
        <v>2026</v>
      </c>
      <c r="AB213" s="6">
        <f t="shared" si="43"/>
        <v>2027</v>
      </c>
      <c r="AC213" s="6">
        <f t="shared" si="43"/>
        <v>2028</v>
      </c>
      <c r="AD213" s="6">
        <f t="shared" si="43"/>
        <v>2029</v>
      </c>
      <c r="AE213" s="6">
        <f t="shared" si="43"/>
        <v>2030</v>
      </c>
      <c r="AF213" s="6">
        <f t="shared" si="43"/>
        <v>2031</v>
      </c>
      <c r="AG213" s="6">
        <f t="shared" si="43"/>
        <v>2032</v>
      </c>
      <c r="AH213" s="6">
        <f t="shared" si="43"/>
        <v>2033</v>
      </c>
      <c r="AI213" s="6">
        <f t="shared" si="43"/>
        <v>2034</v>
      </c>
      <c r="AJ213" s="6">
        <f t="shared" si="43"/>
        <v>2035</v>
      </c>
      <c r="AK213" s="6">
        <f t="shared" si="43"/>
        <v>2036</v>
      </c>
      <c r="AL213" s="6">
        <f t="shared" si="43"/>
        <v>2037</v>
      </c>
      <c r="AM213" s="6">
        <f t="shared" si="43"/>
        <v>2038</v>
      </c>
      <c r="AN213" s="6">
        <f t="shared" si="43"/>
        <v>2039</v>
      </c>
      <c r="AO213" s="6">
        <f t="shared" si="43"/>
        <v>2040</v>
      </c>
      <c r="AP213" s="6">
        <f t="shared" si="43"/>
        <v>2041</v>
      </c>
      <c r="AQ213" s="6">
        <f t="shared" si="43"/>
        <v>2042</v>
      </c>
      <c r="AR213" s="6">
        <f t="shared" si="43"/>
        <v>2043</v>
      </c>
      <c r="AS213" s="6">
        <f t="shared" si="43"/>
        <v>2044</v>
      </c>
      <c r="AT213" s="6">
        <f t="shared" si="43"/>
        <v>2045</v>
      </c>
      <c r="AU213" s="6">
        <f t="shared" si="43"/>
        <v>2046</v>
      </c>
      <c r="AV213" s="6">
        <f t="shared" si="43"/>
        <v>2047</v>
      </c>
      <c r="AW213" s="6">
        <f t="shared" si="43"/>
        <v>2048</v>
      </c>
      <c r="AX213" s="6">
        <f t="shared" si="43"/>
        <v>2049</v>
      </c>
      <c r="AY213" s="6">
        <f t="shared" si="43"/>
        <v>2050</v>
      </c>
      <c r="AZ213" s="6">
        <f t="shared" si="43"/>
        <v>2051</v>
      </c>
      <c r="BA213" s="6">
        <f t="shared" si="43"/>
        <v>2052</v>
      </c>
      <c r="BB213" s="6">
        <f t="shared" si="43"/>
        <v>2053</v>
      </c>
      <c r="BC213" s="6">
        <f t="shared" si="43"/>
        <v>2054</v>
      </c>
      <c r="BD213" s="6">
        <f t="shared" si="43"/>
        <v>2055</v>
      </c>
      <c r="BE213" s="6">
        <f t="shared" si="43"/>
        <v>2056</v>
      </c>
      <c r="BF213" s="6">
        <f t="shared" si="43"/>
        <v>2057</v>
      </c>
      <c r="BG213" s="6">
        <f t="shared" si="43"/>
        <v>2058</v>
      </c>
      <c r="BH213" s="6">
        <f t="shared" si="43"/>
        <v>2059</v>
      </c>
      <c r="BI213" s="6">
        <f t="shared" si="43"/>
        <v>2060</v>
      </c>
    </row>
    <row r="214" spans="1:61" ht="30">
      <c r="A214" s="8" t="s">
        <v>5</v>
      </c>
      <c r="B214" s="13"/>
      <c r="C214" s="13"/>
      <c r="D214" s="13"/>
      <c r="E214" s="13"/>
      <c r="F214" s="13"/>
      <c r="G214" s="13"/>
      <c r="H214" s="13"/>
      <c r="I214" s="13"/>
      <c r="J214" s="13"/>
      <c r="K214" s="13"/>
      <c r="L214" s="13"/>
      <c r="M214" s="13"/>
      <c r="N214" s="13"/>
      <c r="O214" s="13"/>
      <c r="P214" s="13"/>
      <c r="Q214" s="13"/>
      <c r="R214" s="13"/>
      <c r="S214" s="13"/>
      <c r="T214" s="10">
        <f>Indeksacja!T$6/100</f>
        <v>1.0229999999999999</v>
      </c>
      <c r="U214" s="10">
        <f>Indeksacja!U$6/100</f>
        <v>1.034</v>
      </c>
      <c r="V214" s="10">
        <f>Indeksacja!V$6/100</f>
        <v>1.0509999999999999</v>
      </c>
      <c r="W214" s="19">
        <v>1</v>
      </c>
      <c r="X214" s="19">
        <v>1</v>
      </c>
      <c r="Y214" s="19">
        <v>1</v>
      </c>
      <c r="Z214" s="19">
        <v>1</v>
      </c>
      <c r="AA214" s="19">
        <v>1</v>
      </c>
      <c r="AB214" s="19">
        <v>1</v>
      </c>
      <c r="AC214" s="19">
        <v>1</v>
      </c>
      <c r="AD214" s="19">
        <v>1</v>
      </c>
      <c r="AE214" s="19">
        <v>1</v>
      </c>
      <c r="AF214" s="19">
        <v>1</v>
      </c>
      <c r="AG214" s="19">
        <v>1</v>
      </c>
      <c r="AH214" s="19">
        <v>1</v>
      </c>
      <c r="AI214" s="19">
        <v>1</v>
      </c>
      <c r="AJ214" s="19">
        <v>1</v>
      </c>
      <c r="AK214" s="19">
        <v>1</v>
      </c>
      <c r="AL214" s="19">
        <v>1</v>
      </c>
      <c r="AM214" s="19">
        <v>1</v>
      </c>
      <c r="AN214" s="19">
        <v>1</v>
      </c>
      <c r="AO214" s="19">
        <v>1</v>
      </c>
      <c r="AP214" s="19">
        <v>1</v>
      </c>
      <c r="AQ214" s="19">
        <v>1</v>
      </c>
      <c r="AR214" s="19">
        <v>1</v>
      </c>
      <c r="AS214" s="19">
        <v>1</v>
      </c>
      <c r="AT214" s="19">
        <v>1</v>
      </c>
      <c r="AU214" s="19">
        <v>1</v>
      </c>
      <c r="AV214" s="19">
        <v>1</v>
      </c>
      <c r="AW214" s="19">
        <v>1</v>
      </c>
      <c r="AX214" s="19">
        <v>1</v>
      </c>
      <c r="AY214" s="19">
        <v>1</v>
      </c>
      <c r="AZ214" s="19">
        <v>1</v>
      </c>
      <c r="BA214" s="19">
        <v>1</v>
      </c>
      <c r="BB214" s="19">
        <v>1</v>
      </c>
      <c r="BC214" s="19">
        <v>1</v>
      </c>
      <c r="BD214" s="19">
        <v>1</v>
      </c>
      <c r="BE214" s="19">
        <v>1</v>
      </c>
      <c r="BF214" s="19">
        <v>1</v>
      </c>
      <c r="BG214" s="19">
        <v>1</v>
      </c>
      <c r="BH214" s="19">
        <v>1</v>
      </c>
      <c r="BI214" s="19">
        <v>1</v>
      </c>
    </row>
    <row r="215" spans="1:61" ht="30">
      <c r="A215" s="8" t="s">
        <v>112</v>
      </c>
      <c r="B215" s="13"/>
      <c r="C215" s="13"/>
      <c r="D215" s="13"/>
      <c r="E215" s="13"/>
      <c r="F215" s="13"/>
      <c r="G215" s="13"/>
      <c r="H215" s="13"/>
      <c r="I215" s="13"/>
      <c r="J215" s="13"/>
      <c r="K215" s="13"/>
      <c r="L215" s="13"/>
      <c r="M215" s="13"/>
      <c r="N215" s="13"/>
      <c r="O215" s="13"/>
      <c r="P215" s="13"/>
      <c r="Q215" s="13"/>
      <c r="R215" s="13"/>
      <c r="S215" s="13"/>
      <c r="T215" s="234">
        <v>1</v>
      </c>
      <c r="U215" s="10">
        <f t="shared" ref="U215:BI215" si="44">T215*U214</f>
        <v>1.034</v>
      </c>
      <c r="V215" s="10">
        <f t="shared" si="44"/>
        <v>1.0867339999999999</v>
      </c>
      <c r="W215" s="10">
        <f t="shared" si="44"/>
        <v>1.0867339999999999</v>
      </c>
      <c r="X215" s="10">
        <f t="shared" si="44"/>
        <v>1.0867339999999999</v>
      </c>
      <c r="Y215" s="10">
        <f t="shared" si="44"/>
        <v>1.0867339999999999</v>
      </c>
      <c r="Z215" s="10">
        <f t="shared" si="44"/>
        <v>1.0867339999999999</v>
      </c>
      <c r="AA215" s="10">
        <f t="shared" si="44"/>
        <v>1.0867339999999999</v>
      </c>
      <c r="AB215" s="10">
        <f t="shared" si="44"/>
        <v>1.0867339999999999</v>
      </c>
      <c r="AC215" s="10">
        <f t="shared" si="44"/>
        <v>1.0867339999999999</v>
      </c>
      <c r="AD215" s="10">
        <f t="shared" si="44"/>
        <v>1.0867339999999999</v>
      </c>
      <c r="AE215" s="10">
        <f t="shared" si="44"/>
        <v>1.0867339999999999</v>
      </c>
      <c r="AF215" s="10">
        <f t="shared" si="44"/>
        <v>1.0867339999999999</v>
      </c>
      <c r="AG215" s="10">
        <f t="shared" si="44"/>
        <v>1.0867339999999999</v>
      </c>
      <c r="AH215" s="10">
        <f t="shared" si="44"/>
        <v>1.0867339999999999</v>
      </c>
      <c r="AI215" s="10">
        <f t="shared" si="44"/>
        <v>1.0867339999999999</v>
      </c>
      <c r="AJ215" s="10">
        <f t="shared" si="44"/>
        <v>1.0867339999999999</v>
      </c>
      <c r="AK215" s="10">
        <f t="shared" si="44"/>
        <v>1.0867339999999999</v>
      </c>
      <c r="AL215" s="10">
        <f t="shared" si="44"/>
        <v>1.0867339999999999</v>
      </c>
      <c r="AM215" s="10">
        <f t="shared" si="44"/>
        <v>1.0867339999999999</v>
      </c>
      <c r="AN215" s="10">
        <f t="shared" si="44"/>
        <v>1.0867339999999999</v>
      </c>
      <c r="AO215" s="10">
        <f t="shared" si="44"/>
        <v>1.0867339999999999</v>
      </c>
      <c r="AP215" s="10">
        <f t="shared" si="44"/>
        <v>1.0867339999999999</v>
      </c>
      <c r="AQ215" s="10">
        <f t="shared" si="44"/>
        <v>1.0867339999999999</v>
      </c>
      <c r="AR215" s="10">
        <f t="shared" si="44"/>
        <v>1.0867339999999999</v>
      </c>
      <c r="AS215" s="10">
        <f t="shared" si="44"/>
        <v>1.0867339999999999</v>
      </c>
      <c r="AT215" s="10">
        <f t="shared" si="44"/>
        <v>1.0867339999999999</v>
      </c>
      <c r="AU215" s="10">
        <f t="shared" si="44"/>
        <v>1.0867339999999999</v>
      </c>
      <c r="AV215" s="10">
        <f t="shared" si="44"/>
        <v>1.0867339999999999</v>
      </c>
      <c r="AW215" s="10">
        <f t="shared" si="44"/>
        <v>1.0867339999999999</v>
      </c>
      <c r="AX215" s="10">
        <f t="shared" si="44"/>
        <v>1.0867339999999999</v>
      </c>
      <c r="AY215" s="10">
        <f t="shared" si="44"/>
        <v>1.0867339999999999</v>
      </c>
      <c r="AZ215" s="10">
        <f t="shared" si="44"/>
        <v>1.0867339999999999</v>
      </c>
      <c r="BA215" s="10">
        <f t="shared" si="44"/>
        <v>1.0867339999999999</v>
      </c>
      <c r="BB215" s="10">
        <f t="shared" si="44"/>
        <v>1.0867339999999999</v>
      </c>
      <c r="BC215" s="10">
        <f t="shared" si="44"/>
        <v>1.0867339999999999</v>
      </c>
      <c r="BD215" s="10">
        <f t="shared" si="44"/>
        <v>1.0867339999999999</v>
      </c>
      <c r="BE215" s="10">
        <f t="shared" si="44"/>
        <v>1.0867339999999999</v>
      </c>
      <c r="BF215" s="10">
        <f t="shared" si="44"/>
        <v>1.0867339999999999</v>
      </c>
      <c r="BG215" s="10">
        <f t="shared" si="44"/>
        <v>1.0867339999999999</v>
      </c>
      <c r="BH215" s="10">
        <f t="shared" si="44"/>
        <v>1.0867339999999999</v>
      </c>
      <c r="BI215" s="10">
        <f t="shared" si="44"/>
        <v>1.0867339999999999</v>
      </c>
    </row>
    <row r="216" spans="1:61">
      <c r="A216" s="35" t="str">
        <f>Indeksacja!A$7</f>
        <v>Źródło: GUS, https://stat.gov.pl/wskazniki-makroekonomiczne/ - Roczne wskaźniki makroekonomiczne, arkusz "WSKAŹNIKI CEN" (aktualizacja 20.04.2022)</v>
      </c>
    </row>
    <row r="217" spans="1:61"/>
    <row r="218" spans="1:61"/>
    <row r="219" spans="1:61">
      <c r="A219" s="720" t="s">
        <v>637</v>
      </c>
      <c r="B219" s="720"/>
      <c r="C219" s="720"/>
      <c r="D219" s="720"/>
      <c r="E219" s="720"/>
      <c r="F219" s="720"/>
      <c r="G219" s="720"/>
      <c r="H219" s="720"/>
      <c r="I219" s="720"/>
      <c r="J219" s="720"/>
      <c r="K219" s="720"/>
      <c r="L219" s="720"/>
      <c r="M219" s="720"/>
      <c r="N219" s="720"/>
      <c r="O219" s="720"/>
      <c r="P219" s="720"/>
      <c r="Q219" s="720"/>
      <c r="R219" s="720"/>
      <c r="S219" s="720"/>
      <c r="T219" s="720"/>
      <c r="U219" s="720"/>
      <c r="V219" s="720"/>
    </row>
    <row r="220" spans="1:61" s="613" customFormat="1">
      <c r="A220" s="720"/>
      <c r="B220" s="720"/>
      <c r="C220" s="720"/>
      <c r="D220" s="720"/>
      <c r="E220" s="720"/>
      <c r="F220" s="720"/>
      <c r="G220" s="720"/>
      <c r="H220" s="720"/>
      <c r="I220" s="720"/>
      <c r="J220" s="720"/>
      <c r="K220" s="720"/>
      <c r="L220" s="720"/>
      <c r="M220" s="720"/>
      <c r="N220" s="720"/>
      <c r="O220" s="720"/>
      <c r="P220" s="720"/>
      <c r="Q220" s="720"/>
      <c r="R220" s="720"/>
      <c r="S220" s="720"/>
      <c r="T220" s="720"/>
      <c r="U220" s="720"/>
      <c r="V220" s="720"/>
    </row>
    <row r="221" spans="1:61" s="233" customFormat="1">
      <c r="A221" s="715"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221" s="715"/>
      <c r="C221" s="715"/>
      <c r="D221" s="715"/>
      <c r="E221" s="715"/>
      <c r="F221" s="715"/>
      <c r="G221" s="715"/>
      <c r="H221" s="715"/>
      <c r="I221" s="715"/>
      <c r="J221" s="715"/>
      <c r="K221" s="715"/>
      <c r="L221" s="715"/>
      <c r="M221" s="715"/>
      <c r="N221" s="715"/>
      <c r="O221" s="715"/>
      <c r="P221" s="715"/>
      <c r="Q221" s="715"/>
      <c r="R221" s="715"/>
      <c r="S221" s="715"/>
      <c r="T221" s="715"/>
      <c r="U221" s="715"/>
      <c r="V221" s="715"/>
    </row>
    <row r="222" spans="1:61" s="613" customFormat="1">
      <c r="A222" s="715"/>
      <c r="B222" s="715"/>
      <c r="C222" s="715"/>
      <c r="D222" s="715"/>
      <c r="E222" s="715"/>
      <c r="F222" s="715"/>
      <c r="G222" s="715"/>
      <c r="H222" s="715"/>
      <c r="I222" s="715"/>
      <c r="J222" s="715"/>
      <c r="K222" s="715"/>
      <c r="L222" s="715"/>
      <c r="M222" s="715"/>
      <c r="N222" s="715"/>
      <c r="O222" s="715"/>
      <c r="P222" s="715"/>
      <c r="Q222" s="715"/>
      <c r="R222" s="715"/>
      <c r="S222" s="715"/>
      <c r="T222" s="715"/>
      <c r="U222" s="715"/>
      <c r="V222" s="715"/>
    </row>
    <row r="223" spans="1:61" s="613" customFormat="1">
      <c r="A223" s="715"/>
      <c r="B223" s="715"/>
      <c r="C223" s="715"/>
      <c r="D223" s="715"/>
      <c r="E223" s="715"/>
      <c r="F223" s="715"/>
      <c r="G223" s="715"/>
      <c r="H223" s="715"/>
      <c r="I223" s="715"/>
      <c r="J223" s="715"/>
      <c r="K223" s="715"/>
      <c r="L223" s="715"/>
      <c r="M223" s="715"/>
      <c r="N223" s="715"/>
      <c r="O223" s="715"/>
      <c r="P223" s="715"/>
      <c r="Q223" s="715"/>
      <c r="R223" s="715"/>
      <c r="S223" s="715"/>
      <c r="T223" s="715"/>
      <c r="U223" s="715"/>
      <c r="V223" s="715"/>
    </row>
    <row r="224" spans="1:61" s="613" customFormat="1">
      <c r="A224" s="749" t="s">
        <v>639</v>
      </c>
      <c r="B224" s="749"/>
      <c r="C224" s="749"/>
      <c r="D224" s="749"/>
      <c r="E224" s="749"/>
      <c r="F224" s="749"/>
      <c r="G224" s="749"/>
      <c r="H224" s="749"/>
      <c r="I224" s="749"/>
      <c r="J224" s="749"/>
      <c r="K224" s="749"/>
      <c r="L224" s="749"/>
      <c r="M224" s="749"/>
      <c r="N224" s="749"/>
      <c r="O224" s="749"/>
      <c r="P224" s="749"/>
      <c r="Q224" s="749"/>
      <c r="R224" s="749"/>
      <c r="S224" s="749"/>
      <c r="T224" s="749"/>
      <c r="U224" s="749"/>
      <c r="V224" s="749"/>
    </row>
    <row r="225" spans="1:61">
      <c r="A225" s="769"/>
      <c r="B225" s="769"/>
      <c r="C225" s="769"/>
      <c r="D225" s="769"/>
      <c r="E225" s="769"/>
      <c r="F225" s="769"/>
      <c r="G225" s="769"/>
      <c r="H225" s="769"/>
      <c r="I225" s="769"/>
      <c r="J225" s="769"/>
      <c r="K225" s="769"/>
      <c r="L225" s="769"/>
      <c r="M225" s="769"/>
      <c r="N225" s="769"/>
      <c r="O225" s="769"/>
      <c r="P225" s="769"/>
      <c r="Q225" s="769"/>
      <c r="R225" s="769"/>
      <c r="S225" s="769"/>
      <c r="T225" s="769"/>
      <c r="U225" s="769"/>
      <c r="V225" s="769"/>
    </row>
    <row r="226" spans="1:61" s="534" customFormat="1">
      <c r="A226" s="718" t="s">
        <v>327</v>
      </c>
      <c r="B226" s="685" t="s">
        <v>328</v>
      </c>
      <c r="C226" s="671"/>
      <c r="D226" s="671"/>
      <c r="E226" s="671"/>
      <c r="F226" s="671"/>
      <c r="G226" s="671"/>
      <c r="H226" s="671"/>
      <c r="I226" s="671"/>
      <c r="J226" s="671"/>
      <c r="K226" s="671"/>
      <c r="L226" s="671"/>
      <c r="M226" s="671"/>
      <c r="N226" s="671"/>
      <c r="O226" s="671"/>
      <c r="P226" s="674"/>
      <c r="Q226" s="6"/>
      <c r="R226" s="6"/>
      <c r="S226" s="6"/>
      <c r="T226" s="6">
        <v>2020</v>
      </c>
      <c r="U226" s="6">
        <f>T226+1</f>
        <v>2021</v>
      </c>
      <c r="V226" s="6">
        <f t="shared" ref="V226:BI226" si="45">U226+1</f>
        <v>2022</v>
      </c>
      <c r="W226" s="6">
        <f t="shared" si="45"/>
        <v>2023</v>
      </c>
      <c r="X226" s="6">
        <f t="shared" si="45"/>
        <v>2024</v>
      </c>
      <c r="Y226" s="6">
        <f t="shared" si="45"/>
        <v>2025</v>
      </c>
      <c r="Z226" s="6">
        <f t="shared" si="45"/>
        <v>2026</v>
      </c>
      <c r="AA226" s="6">
        <f t="shared" si="45"/>
        <v>2027</v>
      </c>
      <c r="AB226" s="6">
        <f t="shared" si="45"/>
        <v>2028</v>
      </c>
      <c r="AC226" s="6">
        <f t="shared" si="45"/>
        <v>2029</v>
      </c>
      <c r="AD226" s="6">
        <f t="shared" si="45"/>
        <v>2030</v>
      </c>
      <c r="AE226" s="6">
        <f t="shared" si="45"/>
        <v>2031</v>
      </c>
      <c r="AF226" s="6">
        <f t="shared" si="45"/>
        <v>2032</v>
      </c>
      <c r="AG226" s="6">
        <f t="shared" si="45"/>
        <v>2033</v>
      </c>
      <c r="AH226" s="6">
        <f t="shared" si="45"/>
        <v>2034</v>
      </c>
      <c r="AI226" s="6">
        <f t="shared" si="45"/>
        <v>2035</v>
      </c>
      <c r="AJ226" s="6">
        <f t="shared" si="45"/>
        <v>2036</v>
      </c>
      <c r="AK226" s="6">
        <f t="shared" si="45"/>
        <v>2037</v>
      </c>
      <c r="AL226" s="6">
        <f t="shared" si="45"/>
        <v>2038</v>
      </c>
      <c r="AM226" s="6">
        <f t="shared" si="45"/>
        <v>2039</v>
      </c>
      <c r="AN226" s="6">
        <f t="shared" si="45"/>
        <v>2040</v>
      </c>
      <c r="AO226" s="6">
        <f t="shared" si="45"/>
        <v>2041</v>
      </c>
      <c r="AP226" s="6">
        <f t="shared" si="45"/>
        <v>2042</v>
      </c>
      <c r="AQ226" s="6">
        <f t="shared" si="45"/>
        <v>2043</v>
      </c>
      <c r="AR226" s="6">
        <f t="shared" si="45"/>
        <v>2044</v>
      </c>
      <c r="AS226" s="6">
        <f t="shared" si="45"/>
        <v>2045</v>
      </c>
      <c r="AT226" s="6">
        <f t="shared" si="45"/>
        <v>2046</v>
      </c>
      <c r="AU226" s="6">
        <f t="shared" si="45"/>
        <v>2047</v>
      </c>
      <c r="AV226" s="6">
        <f t="shared" si="45"/>
        <v>2048</v>
      </c>
      <c r="AW226" s="6">
        <f t="shared" si="45"/>
        <v>2049</v>
      </c>
      <c r="AX226" s="6">
        <f t="shared" si="45"/>
        <v>2050</v>
      </c>
      <c r="AY226" s="6">
        <f t="shared" si="45"/>
        <v>2051</v>
      </c>
      <c r="AZ226" s="6">
        <f t="shared" si="45"/>
        <v>2052</v>
      </c>
      <c r="BA226" s="6">
        <f t="shared" si="45"/>
        <v>2053</v>
      </c>
      <c r="BB226" s="6">
        <f t="shared" si="45"/>
        <v>2054</v>
      </c>
      <c r="BC226" s="6">
        <f t="shared" si="45"/>
        <v>2055</v>
      </c>
      <c r="BD226" s="6">
        <f t="shared" si="45"/>
        <v>2056</v>
      </c>
      <c r="BE226" s="6">
        <f t="shared" si="45"/>
        <v>2057</v>
      </c>
      <c r="BF226" s="6">
        <f t="shared" si="45"/>
        <v>2058</v>
      </c>
      <c r="BG226" s="6">
        <f t="shared" si="45"/>
        <v>2059</v>
      </c>
      <c r="BH226" s="6">
        <f t="shared" si="45"/>
        <v>2060</v>
      </c>
      <c r="BI226" s="6">
        <f t="shared" si="45"/>
        <v>2061</v>
      </c>
    </row>
    <row r="227" spans="1:61">
      <c r="A227" s="719"/>
      <c r="B227" s="686" t="s">
        <v>530</v>
      </c>
      <c r="C227" s="681"/>
      <c r="D227" s="681"/>
      <c r="E227" s="681"/>
      <c r="F227" s="681"/>
      <c r="G227" s="681"/>
      <c r="H227" s="681"/>
      <c r="I227" s="681"/>
      <c r="J227" s="681"/>
      <c r="K227" s="681"/>
      <c r="L227" s="681"/>
      <c r="M227" s="681"/>
      <c r="N227" s="681"/>
      <c r="O227" s="681"/>
      <c r="P227" s="687"/>
      <c r="Q227" s="683">
        <f>DATE(2016,12,31)</f>
        <v>42735</v>
      </c>
      <c r="R227" s="683">
        <f>DATE(YEAR(Q227+1),12,31)</f>
        <v>43100</v>
      </c>
      <c r="S227" s="683">
        <f t="shared" ref="S227" si="46">DATE(YEAR(R227+1),12,31)</f>
        <v>43465</v>
      </c>
      <c r="T227" s="683">
        <f>DATE(YEAR(S227+1),12,31)</f>
        <v>43830</v>
      </c>
      <c r="U227" s="683">
        <f t="shared" ref="U227:BI227" si="47">DATE(YEAR(T227+1),12,31)</f>
        <v>44196</v>
      </c>
      <c r="V227" s="683">
        <f t="shared" si="47"/>
        <v>44561</v>
      </c>
      <c r="W227" s="683">
        <f t="shared" si="47"/>
        <v>44926</v>
      </c>
      <c r="X227" s="683">
        <f t="shared" si="47"/>
        <v>45291</v>
      </c>
      <c r="Y227" s="683">
        <f t="shared" si="47"/>
        <v>45657</v>
      </c>
      <c r="Z227" s="683">
        <f t="shared" si="47"/>
        <v>46022</v>
      </c>
      <c r="AA227" s="683">
        <f t="shared" si="47"/>
        <v>46387</v>
      </c>
      <c r="AB227" s="683">
        <f t="shared" si="47"/>
        <v>46752</v>
      </c>
      <c r="AC227" s="683">
        <f t="shared" si="47"/>
        <v>47118</v>
      </c>
      <c r="AD227" s="683">
        <f t="shared" si="47"/>
        <v>47483</v>
      </c>
      <c r="AE227" s="683">
        <f t="shared" si="47"/>
        <v>47848</v>
      </c>
      <c r="AF227" s="683">
        <f t="shared" si="47"/>
        <v>48213</v>
      </c>
      <c r="AG227" s="683">
        <f t="shared" si="47"/>
        <v>48579</v>
      </c>
      <c r="AH227" s="683">
        <f t="shared" si="47"/>
        <v>48944</v>
      </c>
      <c r="AI227" s="683">
        <f t="shared" si="47"/>
        <v>49309</v>
      </c>
      <c r="AJ227" s="683">
        <f t="shared" si="47"/>
        <v>49674</v>
      </c>
      <c r="AK227" s="683">
        <f t="shared" si="47"/>
        <v>50040</v>
      </c>
      <c r="AL227" s="683">
        <f t="shared" si="47"/>
        <v>50405</v>
      </c>
      <c r="AM227" s="683">
        <f t="shared" si="47"/>
        <v>50770</v>
      </c>
      <c r="AN227" s="683">
        <f t="shared" si="47"/>
        <v>51135</v>
      </c>
      <c r="AO227" s="683">
        <f t="shared" si="47"/>
        <v>51501</v>
      </c>
      <c r="AP227" s="683">
        <f t="shared" si="47"/>
        <v>51866</v>
      </c>
      <c r="AQ227" s="683">
        <f t="shared" si="47"/>
        <v>52231</v>
      </c>
      <c r="AR227" s="683">
        <f t="shared" si="47"/>
        <v>52596</v>
      </c>
      <c r="AS227" s="683">
        <f t="shared" si="47"/>
        <v>52962</v>
      </c>
      <c r="AT227" s="683">
        <f t="shared" si="47"/>
        <v>53327</v>
      </c>
      <c r="AU227" s="683">
        <f t="shared" si="47"/>
        <v>53692</v>
      </c>
      <c r="AV227" s="683">
        <f t="shared" si="47"/>
        <v>54057</v>
      </c>
      <c r="AW227" s="683">
        <f t="shared" si="47"/>
        <v>54423</v>
      </c>
      <c r="AX227" s="683">
        <f t="shared" si="47"/>
        <v>54788</v>
      </c>
      <c r="AY227" s="683">
        <f t="shared" si="47"/>
        <v>55153</v>
      </c>
      <c r="AZ227" s="683">
        <f t="shared" si="47"/>
        <v>55518</v>
      </c>
      <c r="BA227" s="683">
        <f t="shared" si="47"/>
        <v>55884</v>
      </c>
      <c r="BB227" s="683">
        <f t="shared" si="47"/>
        <v>56249</v>
      </c>
      <c r="BC227" s="683">
        <f t="shared" si="47"/>
        <v>56614</v>
      </c>
      <c r="BD227" s="683">
        <f t="shared" si="47"/>
        <v>56979</v>
      </c>
      <c r="BE227" s="683">
        <f t="shared" si="47"/>
        <v>57345</v>
      </c>
      <c r="BF227" s="683">
        <f t="shared" si="47"/>
        <v>57710</v>
      </c>
      <c r="BG227" s="683">
        <f t="shared" si="47"/>
        <v>58075</v>
      </c>
      <c r="BH227" s="683">
        <f t="shared" si="47"/>
        <v>58440</v>
      </c>
      <c r="BI227" s="683">
        <f t="shared" si="47"/>
        <v>58806</v>
      </c>
    </row>
    <row r="228" spans="1:61">
      <c r="A228" s="8" t="str">
        <f>"Prędkość "&amp;$S$179&amp;" km/h"</f>
        <v>Prędkość 61-70 km/h</v>
      </c>
      <c r="B228" s="129" t="s">
        <v>42</v>
      </c>
      <c r="C228" s="13"/>
      <c r="D228" s="13"/>
      <c r="E228" s="13"/>
      <c r="F228" s="13"/>
      <c r="G228" s="13"/>
      <c r="H228" s="13"/>
      <c r="I228" s="13"/>
      <c r="J228" s="13"/>
      <c r="K228" s="13"/>
      <c r="L228" s="13"/>
      <c r="M228" s="13"/>
      <c r="N228" s="13"/>
      <c r="O228" s="13"/>
      <c r="P228" s="13"/>
      <c r="Q228" s="93"/>
      <c r="R228" s="93"/>
      <c r="S228" s="93"/>
      <c r="T228" s="10">
        <f t="shared" ref="T228:BI228" si="48">$T$179*$T$205*T$215</f>
        <v>0.96975015681767085</v>
      </c>
      <c r="U228" s="10">
        <f t="shared" si="48"/>
        <v>1.0027216621494717</v>
      </c>
      <c r="V228" s="10">
        <f t="shared" si="48"/>
        <v>1.0538604669190945</v>
      </c>
      <c r="W228" s="10">
        <f t="shared" si="48"/>
        <v>1.0538604669190945</v>
      </c>
      <c r="X228" s="10">
        <f t="shared" si="48"/>
        <v>1.0538604669190945</v>
      </c>
      <c r="Y228" s="10">
        <f t="shared" si="48"/>
        <v>1.0538604669190945</v>
      </c>
      <c r="Z228" s="10">
        <f t="shared" si="48"/>
        <v>1.0538604669190945</v>
      </c>
      <c r="AA228" s="10">
        <f t="shared" si="48"/>
        <v>1.0538604669190945</v>
      </c>
      <c r="AB228" s="10">
        <f t="shared" si="48"/>
        <v>1.0538604669190945</v>
      </c>
      <c r="AC228" s="10">
        <f t="shared" si="48"/>
        <v>1.0538604669190945</v>
      </c>
      <c r="AD228" s="10">
        <f t="shared" si="48"/>
        <v>1.0538604669190945</v>
      </c>
      <c r="AE228" s="10">
        <f t="shared" si="48"/>
        <v>1.0538604669190945</v>
      </c>
      <c r="AF228" s="10">
        <f t="shared" si="48"/>
        <v>1.0538604669190945</v>
      </c>
      <c r="AG228" s="10">
        <f t="shared" si="48"/>
        <v>1.0538604669190945</v>
      </c>
      <c r="AH228" s="10">
        <f t="shared" si="48"/>
        <v>1.0538604669190945</v>
      </c>
      <c r="AI228" s="10">
        <f t="shared" si="48"/>
        <v>1.0538604669190945</v>
      </c>
      <c r="AJ228" s="10">
        <f t="shared" si="48"/>
        <v>1.0538604669190945</v>
      </c>
      <c r="AK228" s="10">
        <f t="shared" si="48"/>
        <v>1.0538604669190945</v>
      </c>
      <c r="AL228" s="10">
        <f t="shared" si="48"/>
        <v>1.0538604669190945</v>
      </c>
      <c r="AM228" s="10">
        <f t="shared" si="48"/>
        <v>1.0538604669190945</v>
      </c>
      <c r="AN228" s="10">
        <f t="shared" si="48"/>
        <v>1.0538604669190945</v>
      </c>
      <c r="AO228" s="10">
        <f t="shared" si="48"/>
        <v>1.0538604669190945</v>
      </c>
      <c r="AP228" s="10">
        <f t="shared" si="48"/>
        <v>1.0538604669190945</v>
      </c>
      <c r="AQ228" s="10">
        <f t="shared" si="48"/>
        <v>1.0538604669190945</v>
      </c>
      <c r="AR228" s="10">
        <f t="shared" si="48"/>
        <v>1.0538604669190945</v>
      </c>
      <c r="AS228" s="10">
        <f t="shared" si="48"/>
        <v>1.0538604669190945</v>
      </c>
      <c r="AT228" s="10">
        <f t="shared" si="48"/>
        <v>1.0538604669190945</v>
      </c>
      <c r="AU228" s="10">
        <f t="shared" si="48"/>
        <v>1.0538604669190945</v>
      </c>
      <c r="AV228" s="10">
        <f t="shared" si="48"/>
        <v>1.0538604669190945</v>
      </c>
      <c r="AW228" s="10">
        <f t="shared" si="48"/>
        <v>1.0538604669190945</v>
      </c>
      <c r="AX228" s="10">
        <f t="shared" si="48"/>
        <v>1.0538604669190945</v>
      </c>
      <c r="AY228" s="10">
        <f t="shared" si="48"/>
        <v>1.0538604669190945</v>
      </c>
      <c r="AZ228" s="10">
        <f t="shared" si="48"/>
        <v>1.0538604669190945</v>
      </c>
      <c r="BA228" s="10">
        <f t="shared" si="48"/>
        <v>1.0538604669190945</v>
      </c>
      <c r="BB228" s="10">
        <f t="shared" si="48"/>
        <v>1.0538604669190945</v>
      </c>
      <c r="BC228" s="10">
        <f t="shared" si="48"/>
        <v>1.0538604669190945</v>
      </c>
      <c r="BD228" s="10">
        <f t="shared" si="48"/>
        <v>1.0538604669190945</v>
      </c>
      <c r="BE228" s="10">
        <f t="shared" si="48"/>
        <v>1.0538604669190945</v>
      </c>
      <c r="BF228" s="10">
        <f t="shared" si="48"/>
        <v>1.0538604669190945</v>
      </c>
      <c r="BG228" s="10">
        <f t="shared" si="48"/>
        <v>1.0538604669190945</v>
      </c>
      <c r="BH228" s="10">
        <f t="shared" si="48"/>
        <v>1.0538604669190945</v>
      </c>
      <c r="BI228" s="10">
        <f t="shared" si="48"/>
        <v>1.0538604669190945</v>
      </c>
    </row>
    <row r="229" spans="1:61"/>
    <row r="230" spans="1:61"/>
    <row r="231" spans="1:61"/>
    <row r="232" spans="1:61">
      <c r="A232" s="132" t="s">
        <v>640</v>
      </c>
      <c r="B232" s="132"/>
      <c r="C232" s="132"/>
      <c r="D232" s="132"/>
      <c r="E232" s="132"/>
      <c r="F232" s="132"/>
      <c r="G232" s="132"/>
      <c r="H232" s="132"/>
      <c r="I232" s="132"/>
      <c r="J232" s="132"/>
      <c r="K232" s="132"/>
      <c r="L232" s="132"/>
      <c r="M232" s="132"/>
      <c r="N232" s="132"/>
      <c r="O232" s="132"/>
      <c r="P232" s="132"/>
      <c r="Q232" s="132"/>
    </row>
    <row r="233" spans="1:61"/>
    <row r="234" spans="1:61" hidden="1" outlineLevel="1">
      <c r="A234" s="133" t="s">
        <v>641</v>
      </c>
    </row>
    <row r="235" spans="1:61" hidden="1" outlineLevel="1">
      <c r="A235" s="136" t="s">
        <v>83</v>
      </c>
    </row>
    <row r="236" spans="1:61" ht="60.75" hidden="1" outlineLevel="1" thickBot="1">
      <c r="A236" s="200" t="s">
        <v>65</v>
      </c>
      <c r="B236" s="158"/>
      <c r="C236" s="158"/>
      <c r="D236" s="158"/>
      <c r="E236" s="158"/>
      <c r="F236" s="158"/>
      <c r="G236" s="158"/>
      <c r="H236" s="158"/>
      <c r="I236" s="158"/>
      <c r="J236" s="158"/>
      <c r="K236" s="158"/>
      <c r="L236" s="158"/>
      <c r="M236" s="158"/>
      <c r="N236" s="158"/>
      <c r="O236" s="158"/>
      <c r="P236" s="200" t="s">
        <v>118</v>
      </c>
      <c r="Q236" s="200" t="s">
        <v>66</v>
      </c>
      <c r="R236"/>
    </row>
    <row r="237" spans="1:61" ht="30" hidden="1" outlineLevel="1">
      <c r="A237" s="196" t="s">
        <v>67</v>
      </c>
      <c r="B237" s="196" t="s">
        <v>68</v>
      </c>
      <c r="P237" s="134">
        <v>1.81</v>
      </c>
      <c r="Q237" s="147">
        <f t="shared" ref="Q237:Q242" si="49">P237*$B$246</f>
        <v>0.50277777777777777</v>
      </c>
      <c r="R237"/>
    </row>
    <row r="238" spans="1:61" ht="30" hidden="1" outlineLevel="1">
      <c r="A238" s="196" t="str">
        <f>A237</f>
        <v>Samochód osobowy, hybrydowy benzyna +elektryczny</v>
      </c>
      <c r="B238" s="196" t="s">
        <v>69</v>
      </c>
      <c r="P238" s="134">
        <v>2.37</v>
      </c>
      <c r="Q238" s="147">
        <f t="shared" si="49"/>
        <v>0.65833333333333344</v>
      </c>
      <c r="R238"/>
    </row>
    <row r="239" spans="1:61" ht="30" hidden="1" outlineLevel="1">
      <c r="A239" s="196" t="s">
        <v>70</v>
      </c>
      <c r="B239" s="196" t="s">
        <v>68</v>
      </c>
      <c r="P239" s="134">
        <v>0.84</v>
      </c>
      <c r="Q239" s="147">
        <f t="shared" si="49"/>
        <v>0.23333333333333334</v>
      </c>
      <c r="R239"/>
    </row>
    <row r="240" spans="1:61" ht="30" hidden="1" outlineLevel="1">
      <c r="A240" s="196" t="s">
        <v>70</v>
      </c>
      <c r="B240" s="196" t="s">
        <v>69</v>
      </c>
      <c r="P240" s="134">
        <v>0.73</v>
      </c>
      <c r="Q240" s="147">
        <f t="shared" si="49"/>
        <v>0.20277777777777778</v>
      </c>
      <c r="R240"/>
    </row>
    <row r="241" spans="1:25" ht="45" hidden="1" outlineLevel="1">
      <c r="A241" s="196" t="s">
        <v>72</v>
      </c>
      <c r="B241" s="196" t="s">
        <v>68</v>
      </c>
      <c r="P241" s="134">
        <v>11.42</v>
      </c>
      <c r="Q241" s="147">
        <f t="shared" si="49"/>
        <v>3.1722222222222225</v>
      </c>
      <c r="R241"/>
    </row>
    <row r="242" spans="1:25" ht="30" hidden="1" outlineLevel="1">
      <c r="A242" s="197" t="s">
        <v>73</v>
      </c>
      <c r="B242" s="197" t="s">
        <v>68</v>
      </c>
      <c r="C242" s="199"/>
      <c r="D242" s="199"/>
      <c r="E242" s="199"/>
      <c r="F242" s="199"/>
      <c r="G242" s="199"/>
      <c r="H242" s="199"/>
      <c r="I242" s="199"/>
      <c r="J242" s="199"/>
      <c r="K242" s="199"/>
      <c r="L242" s="199"/>
      <c r="M242" s="199"/>
      <c r="N242" s="199"/>
      <c r="O242" s="199"/>
      <c r="P242" s="141">
        <v>7.83</v>
      </c>
      <c r="Q242" s="148">
        <f t="shared" si="49"/>
        <v>2.1750000000000003</v>
      </c>
      <c r="R242"/>
    </row>
    <row r="243" spans="1:25" hidden="1" outlineLevel="1">
      <c r="A243" s="145" t="s">
        <v>642</v>
      </c>
      <c r="B243" s="163"/>
      <c r="C243" s="163"/>
      <c r="D243" s="163"/>
      <c r="E243" s="163"/>
      <c r="F243" s="163"/>
      <c r="G243" s="163"/>
      <c r="H243" s="163"/>
      <c r="I243" s="163"/>
      <c r="J243" s="163"/>
      <c r="K243" s="163"/>
      <c r="L243" s="163"/>
      <c r="M243" s="163"/>
      <c r="N243" s="163"/>
      <c r="O243" s="163"/>
      <c r="P243" s="164"/>
      <c r="Q243" s="165"/>
      <c r="R243" s="166"/>
      <c r="S243" s="167"/>
      <c r="T243" s="168"/>
    </row>
    <row r="244" spans="1:25" hidden="1" outlineLevel="1">
      <c r="A244" s="35" t="s">
        <v>84</v>
      </c>
    </row>
    <row r="245" spans="1:25" hidden="1" outlineLevel="1"/>
    <row r="246" spans="1:25" hidden="1" outlineLevel="1">
      <c r="A246" s="198" t="s">
        <v>50</v>
      </c>
      <c r="B246" s="156">
        <f>B247/(B248*B249)</f>
        <v>0.27777777777777779</v>
      </c>
    </row>
    <row r="247" spans="1:25" hidden="1" outlineLevel="1">
      <c r="B247" s="102">
        <f>10^6</f>
        <v>1000000</v>
      </c>
      <c r="P247" s="198" t="s">
        <v>62</v>
      </c>
    </row>
    <row r="248" spans="1:25" hidden="1" outlineLevel="1">
      <c r="B248" s="102">
        <f>10^3</f>
        <v>1000</v>
      </c>
      <c r="P248" s="198" t="s">
        <v>63</v>
      </c>
    </row>
    <row r="249" spans="1:25" hidden="1" outlineLevel="1">
      <c r="B249" s="102">
        <f>(60*60)</f>
        <v>3600</v>
      </c>
      <c r="P249" s="198" t="s">
        <v>64</v>
      </c>
    </row>
    <row r="250" spans="1:25" hidden="1" outlineLevel="1"/>
    <row r="251" spans="1:25" collapsed="1">
      <c r="A251" s="206" t="s">
        <v>126</v>
      </c>
      <c r="R251" s="195"/>
      <c r="S251" s="757" t="str">
        <f>$A$202</f>
        <v xml:space="preserve">Mnożniki te należy stosować do łącznych VOC (nie tylko do kosztów zużycia paliwa lub energii elektrycznej). </v>
      </c>
      <c r="T251" s="757"/>
      <c r="U251" s="757"/>
      <c r="W251" s="759" t="str">
        <f>$AD$172</f>
        <v xml:space="preserve">Mnożniki te należy stosować do łącznych VOC (nie tylko do kosztów zużycia paliwa lub energii elektrycznej). </v>
      </c>
      <c r="X251" s="759"/>
      <c r="Y251" s="759"/>
    </row>
    <row r="252" spans="1:25" s="556" customFormat="1">
      <c r="A252" s="206"/>
      <c r="R252" s="195"/>
      <c r="S252" s="757"/>
      <c r="T252" s="757"/>
      <c r="U252" s="757"/>
      <c r="W252" s="759"/>
      <c r="X252" s="759"/>
      <c r="Y252" s="759"/>
    </row>
    <row r="253" spans="1:25" s="556" customFormat="1" ht="15.75" thickBot="1">
      <c r="A253" s="206"/>
      <c r="R253" s="195"/>
      <c r="S253" s="758"/>
      <c r="T253" s="758"/>
      <c r="U253" s="758"/>
      <c r="W253" s="760"/>
      <c r="X253" s="760"/>
      <c r="Y253" s="760"/>
    </row>
    <row r="254" spans="1:25" ht="15" customHeight="1">
      <c r="S254" s="124" t="s">
        <v>44</v>
      </c>
      <c r="T254" s="126"/>
      <c r="U254" s="125"/>
      <c r="W254" s="124" t="s">
        <v>45</v>
      </c>
      <c r="X254" s="126"/>
      <c r="Y254" s="125"/>
    </row>
    <row r="255" spans="1:25" ht="30.75" thickBot="1">
      <c r="S255" s="32" t="s">
        <v>43</v>
      </c>
      <c r="T255" s="33" t="s">
        <v>10</v>
      </c>
      <c r="U255" s="209" t="s">
        <v>125</v>
      </c>
      <c r="W255" s="25" t="s">
        <v>127</v>
      </c>
      <c r="X255" s="20" t="s">
        <v>10</v>
      </c>
      <c r="Y255" s="209" t="s">
        <v>125</v>
      </c>
    </row>
    <row r="256" spans="1:25">
      <c r="S256" s="26" t="s">
        <v>13</v>
      </c>
      <c r="T256" s="30">
        <f>T205</f>
        <v>1</v>
      </c>
      <c r="U256" s="31">
        <f>U205</f>
        <v>1</v>
      </c>
      <c r="W256" s="26" t="s">
        <v>128</v>
      </c>
      <c r="X256" s="210">
        <v>1</v>
      </c>
      <c r="Y256" s="211">
        <v>1</v>
      </c>
    </row>
    <row r="257" spans="1:28" ht="15.75" thickBot="1">
      <c r="S257" s="27" t="s">
        <v>12</v>
      </c>
      <c r="T257" s="28">
        <f>T206</f>
        <v>1.0316643084185093</v>
      </c>
      <c r="U257" s="29">
        <f>U206</f>
        <v>1.1996070463245994</v>
      </c>
      <c r="W257" s="212" t="s">
        <v>129</v>
      </c>
      <c r="X257" s="127">
        <f>AVERAGE(AB177,AB183)</f>
        <v>1.1687500000000002</v>
      </c>
      <c r="Y257" s="123">
        <f>AVERAGE(AC177,AC183)</f>
        <v>1.1875</v>
      </c>
    </row>
    <row r="258" spans="1:28">
      <c r="S258" s="35" t="str">
        <f>$S$207</f>
        <v>Źródło: Obliczenia własne</v>
      </c>
      <c r="T258" s="195"/>
      <c r="U258" s="195"/>
      <c r="W258" s="208" t="str">
        <f>$AA$187</f>
        <v>Źródło: Obliczenia własne na podstawie "Optimisation of Maintenance", OECD/ITF 2012, str. 12</v>
      </c>
    </row>
    <row r="259" spans="1:28" s="557" customFormat="1">
      <c r="S259" s="772" t="str">
        <f>$S$208</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59" s="772"/>
      <c r="U259" s="772"/>
      <c r="V259" s="772"/>
      <c r="W259" s="772"/>
      <c r="X259" s="772"/>
      <c r="Y259" s="772"/>
      <c r="Z259" s="772"/>
      <c r="AA259" s="772"/>
      <c r="AB259" s="772"/>
    </row>
    <row r="260" spans="1:28" s="613" customFormat="1">
      <c r="S260" s="772"/>
      <c r="T260" s="772"/>
      <c r="U260" s="772"/>
      <c r="V260" s="772"/>
      <c r="W260" s="772"/>
      <c r="X260" s="772"/>
      <c r="Y260" s="772"/>
      <c r="Z260" s="772"/>
      <c r="AA260" s="772"/>
      <c r="AB260" s="772"/>
    </row>
    <row r="261" spans="1:28" s="613" customFormat="1">
      <c r="S261" s="772"/>
      <c r="T261" s="772"/>
      <c r="U261" s="772"/>
      <c r="V261" s="772"/>
      <c r="W261" s="772"/>
      <c r="X261" s="772"/>
      <c r="Y261" s="772"/>
      <c r="Z261" s="772"/>
      <c r="AA261" s="772"/>
      <c r="AB261" s="772"/>
    </row>
    <row r="262" spans="1:28" hidden="1" outlineLevel="1">
      <c r="A262" s="1" t="s">
        <v>119</v>
      </c>
    </row>
    <row r="263" spans="1:28" hidden="1" outlineLevel="1">
      <c r="A263" s="198" t="s">
        <v>643</v>
      </c>
    </row>
    <row r="264" spans="1:28" hidden="1" outlineLevel="1">
      <c r="A264" s="9"/>
      <c r="B264" s="9"/>
      <c r="C264" s="9"/>
      <c r="D264" s="9"/>
      <c r="E264" s="9"/>
      <c r="F264" s="9"/>
      <c r="G264" s="9"/>
      <c r="H264" s="9"/>
      <c r="I264" s="9"/>
      <c r="J264" s="9"/>
      <c r="K264" s="9"/>
      <c r="L264" s="9"/>
      <c r="M264" s="9"/>
      <c r="N264" s="9"/>
      <c r="O264" s="9"/>
      <c r="P264" s="9"/>
      <c r="Q264" s="9"/>
      <c r="R264" s="9"/>
      <c r="S264" s="9"/>
      <c r="T264" s="202">
        <v>2019</v>
      </c>
    </row>
    <row r="265" spans="1:28" ht="75" hidden="1" outlineLevel="1">
      <c r="A265" s="8" t="s">
        <v>115</v>
      </c>
      <c r="B265" s="201" t="s">
        <v>113</v>
      </c>
      <c r="C265" s="90"/>
      <c r="D265" s="90"/>
      <c r="E265" s="90"/>
      <c r="F265" s="90"/>
      <c r="G265" s="90"/>
      <c r="H265" s="90"/>
      <c r="I265" s="90"/>
      <c r="J265" s="90"/>
      <c r="K265" s="90"/>
      <c r="L265" s="90"/>
      <c r="M265" s="90"/>
      <c r="N265" s="90"/>
      <c r="O265" s="90"/>
      <c r="P265" s="90"/>
      <c r="Q265" s="90"/>
      <c r="R265" s="90"/>
      <c r="S265" s="90"/>
      <c r="T265" s="118">
        <v>0.2044</v>
      </c>
    </row>
    <row r="266" spans="1:28" hidden="1" outlineLevel="1">
      <c r="A266" s="35" t="s">
        <v>114</v>
      </c>
    </row>
    <row r="267" spans="1:28" hidden="1" outlineLevel="1">
      <c r="A267" s="91" t="s">
        <v>644</v>
      </c>
    </row>
    <row r="268" spans="1:28" hidden="1" outlineLevel="1">
      <c r="A268" s="91" t="s">
        <v>645</v>
      </c>
    </row>
    <row r="269" spans="1:28" hidden="1" outlineLevel="1"/>
    <row r="270" spans="1:28" hidden="1" outlineLevel="1"/>
    <row r="271" spans="1:28" hidden="1" outlineLevel="1">
      <c r="A271" s="1" t="s">
        <v>120</v>
      </c>
    </row>
    <row r="272" spans="1:28" hidden="1" outlineLevel="1">
      <c r="A272" s="198" t="s">
        <v>632</v>
      </c>
    </row>
    <row r="273" spans="1:61" hidden="1" outlineLevel="1">
      <c r="A273" s="149" t="s">
        <v>646</v>
      </c>
    </row>
    <row r="274" spans="1:61" hidden="1" outlineLevel="1">
      <c r="A274" s="9"/>
      <c r="B274" s="9"/>
      <c r="C274" s="9"/>
      <c r="D274" s="9"/>
      <c r="E274" s="9"/>
      <c r="F274" s="9"/>
      <c r="G274" s="9"/>
      <c r="H274" s="9"/>
      <c r="I274" s="9"/>
      <c r="J274" s="9"/>
      <c r="K274" s="9"/>
      <c r="L274" s="9"/>
      <c r="M274" s="9"/>
      <c r="N274" s="9"/>
      <c r="O274" s="9"/>
      <c r="P274" s="9"/>
      <c r="Q274" s="9"/>
      <c r="R274" s="9"/>
      <c r="S274" s="9"/>
      <c r="T274" s="202">
        <v>2019</v>
      </c>
    </row>
    <row r="275" spans="1:61" hidden="1" outlineLevel="1">
      <c r="A275" s="8" t="s">
        <v>124</v>
      </c>
      <c r="B275" s="684" t="s">
        <v>121</v>
      </c>
      <c r="C275" s="12"/>
      <c r="D275" s="12"/>
      <c r="E275" s="12"/>
      <c r="F275" s="12"/>
      <c r="G275" s="12"/>
      <c r="H275" s="12"/>
      <c r="I275" s="12"/>
      <c r="J275" s="12"/>
      <c r="K275" s="12"/>
      <c r="L275" s="12"/>
      <c r="M275" s="12"/>
      <c r="N275" s="12"/>
      <c r="O275" s="12"/>
      <c r="P275" s="12"/>
      <c r="Q275" s="12"/>
      <c r="R275" s="12"/>
      <c r="S275" s="12"/>
      <c r="T275" s="11">
        <f>$T$159</f>
        <v>0.81100964558971222</v>
      </c>
    </row>
    <row r="276" spans="1:61" hidden="1" outlineLevel="1">
      <c r="A276"/>
    </row>
    <row r="277" spans="1:61" collapsed="1">
      <c r="A277"/>
    </row>
    <row r="278" spans="1:61">
      <c r="A278" s="720" t="s">
        <v>647</v>
      </c>
      <c r="B278" s="720"/>
      <c r="C278" s="720"/>
      <c r="D278" s="720"/>
      <c r="E278" s="720"/>
      <c r="F278" s="720"/>
      <c r="G278" s="720"/>
      <c r="H278" s="720"/>
      <c r="I278" s="720"/>
      <c r="J278" s="720"/>
      <c r="K278" s="720"/>
      <c r="L278" s="720"/>
      <c r="M278" s="720"/>
      <c r="N278" s="720"/>
      <c r="O278" s="720"/>
      <c r="P278" s="720"/>
      <c r="Q278" s="720"/>
      <c r="R278" s="720"/>
      <c r="S278" s="720"/>
      <c r="T278" s="720"/>
      <c r="U278" s="720"/>
      <c r="V278" s="720"/>
    </row>
    <row r="279" spans="1:61" s="613" customFormat="1">
      <c r="A279" s="720"/>
      <c r="B279" s="720"/>
      <c r="C279" s="720"/>
      <c r="D279" s="720"/>
      <c r="E279" s="720"/>
      <c r="F279" s="720"/>
      <c r="G279" s="720"/>
      <c r="H279" s="720"/>
      <c r="I279" s="720"/>
      <c r="J279" s="720"/>
      <c r="K279" s="720"/>
      <c r="L279" s="720"/>
      <c r="M279" s="720"/>
      <c r="N279" s="720"/>
      <c r="O279" s="720"/>
      <c r="P279" s="720"/>
      <c r="Q279" s="720"/>
      <c r="R279" s="720"/>
      <c r="S279" s="720"/>
      <c r="T279" s="720"/>
      <c r="U279" s="720"/>
      <c r="V279" s="720"/>
    </row>
    <row r="280" spans="1:61">
      <c r="A280" s="749" t="s">
        <v>639</v>
      </c>
      <c r="B280" s="749"/>
      <c r="C280" s="749"/>
      <c r="D280" s="749"/>
      <c r="E280" s="749"/>
      <c r="F280" s="749"/>
      <c r="G280" s="749"/>
      <c r="H280" s="749"/>
      <c r="I280" s="749"/>
      <c r="J280" s="749"/>
      <c r="K280" s="749"/>
      <c r="L280" s="749"/>
      <c r="M280" s="749"/>
      <c r="N280" s="749"/>
      <c r="O280" s="749"/>
      <c r="P280" s="749"/>
      <c r="Q280" s="749"/>
      <c r="R280" s="749"/>
      <c r="S280" s="749"/>
      <c r="T280" s="749"/>
      <c r="U280" s="749"/>
      <c r="V280" s="749"/>
    </row>
    <row r="281" spans="1:61" s="613" customFormat="1">
      <c r="A281" s="749"/>
      <c r="B281" s="749"/>
      <c r="C281" s="749"/>
      <c r="D281" s="749"/>
      <c r="E281" s="749"/>
      <c r="F281" s="749"/>
      <c r="G281" s="749"/>
      <c r="H281" s="749"/>
      <c r="I281" s="749"/>
      <c r="J281" s="749"/>
      <c r="K281" s="749"/>
      <c r="L281" s="749"/>
      <c r="M281" s="749"/>
      <c r="N281" s="749"/>
      <c r="O281" s="749"/>
      <c r="P281" s="749"/>
      <c r="Q281" s="749"/>
      <c r="R281" s="749"/>
      <c r="S281" s="749"/>
      <c r="T281" s="749"/>
      <c r="U281" s="749"/>
      <c r="V281" s="749"/>
    </row>
    <row r="282" spans="1:61" s="214" customFormat="1">
      <c r="A282" s="715" t="s">
        <v>648</v>
      </c>
      <c r="B282" s="715"/>
      <c r="C282" s="715"/>
      <c r="D282" s="715"/>
      <c r="E282" s="715"/>
      <c r="F282" s="715"/>
      <c r="G282" s="715"/>
      <c r="H282" s="715"/>
      <c r="I282" s="715"/>
      <c r="J282" s="715"/>
      <c r="K282" s="715"/>
      <c r="L282" s="715"/>
      <c r="M282" s="715"/>
      <c r="N282" s="715"/>
      <c r="O282" s="715"/>
      <c r="P282" s="715"/>
      <c r="Q282" s="715"/>
      <c r="R282" s="715"/>
      <c r="S282" s="715"/>
      <c r="T282" s="715"/>
      <c r="U282" s="715"/>
      <c r="V282" s="715"/>
    </row>
    <row r="283" spans="1:61" s="613" customFormat="1">
      <c r="A283" s="779"/>
      <c r="B283" s="779"/>
      <c r="C283" s="779"/>
      <c r="D283" s="779"/>
      <c r="E283" s="779"/>
      <c r="F283" s="779"/>
      <c r="G283" s="779"/>
      <c r="H283" s="779"/>
      <c r="I283" s="779"/>
      <c r="J283" s="779"/>
      <c r="K283" s="779"/>
      <c r="L283" s="779"/>
      <c r="M283" s="779"/>
      <c r="N283" s="779"/>
      <c r="O283" s="779"/>
      <c r="P283" s="779"/>
      <c r="Q283" s="779"/>
      <c r="R283" s="779"/>
      <c r="S283" s="779"/>
      <c r="T283" s="779"/>
      <c r="U283" s="779"/>
      <c r="V283" s="779"/>
    </row>
    <row r="284" spans="1:61" s="534" customFormat="1">
      <c r="A284" s="718" t="s">
        <v>649</v>
      </c>
      <c r="B284" s="685" t="s">
        <v>328</v>
      </c>
      <c r="C284" s="671"/>
      <c r="D284" s="671"/>
      <c r="E284" s="671"/>
      <c r="F284" s="671"/>
      <c r="G284" s="671"/>
      <c r="H284" s="671"/>
      <c r="I284" s="671"/>
      <c r="J284" s="671"/>
      <c r="K284" s="671"/>
      <c r="L284" s="671"/>
      <c r="M284" s="671"/>
      <c r="N284" s="671"/>
      <c r="O284" s="671"/>
      <c r="P284" s="674"/>
      <c r="Q284" s="6"/>
      <c r="R284" s="6"/>
      <c r="S284" s="6"/>
      <c r="T284" s="6">
        <v>2020</v>
      </c>
      <c r="U284" s="6">
        <f>T284+1</f>
        <v>2021</v>
      </c>
      <c r="V284" s="6">
        <f t="shared" ref="V284:BI284" si="50">U284+1</f>
        <v>2022</v>
      </c>
      <c r="W284" s="6">
        <f t="shared" si="50"/>
        <v>2023</v>
      </c>
      <c r="X284" s="6">
        <f t="shared" si="50"/>
        <v>2024</v>
      </c>
      <c r="Y284" s="6">
        <f t="shared" si="50"/>
        <v>2025</v>
      </c>
      <c r="Z284" s="6">
        <f t="shared" si="50"/>
        <v>2026</v>
      </c>
      <c r="AA284" s="6">
        <f t="shared" si="50"/>
        <v>2027</v>
      </c>
      <c r="AB284" s="6">
        <f t="shared" si="50"/>
        <v>2028</v>
      </c>
      <c r="AC284" s="6">
        <f t="shared" si="50"/>
        <v>2029</v>
      </c>
      <c r="AD284" s="6">
        <f t="shared" si="50"/>
        <v>2030</v>
      </c>
      <c r="AE284" s="6">
        <f t="shared" si="50"/>
        <v>2031</v>
      </c>
      <c r="AF284" s="6">
        <f t="shared" si="50"/>
        <v>2032</v>
      </c>
      <c r="AG284" s="6">
        <f t="shared" si="50"/>
        <v>2033</v>
      </c>
      <c r="AH284" s="6">
        <f t="shared" si="50"/>
        <v>2034</v>
      </c>
      <c r="AI284" s="6">
        <f t="shared" si="50"/>
        <v>2035</v>
      </c>
      <c r="AJ284" s="6">
        <f t="shared" si="50"/>
        <v>2036</v>
      </c>
      <c r="AK284" s="6">
        <f t="shared" si="50"/>
        <v>2037</v>
      </c>
      <c r="AL284" s="6">
        <f t="shared" si="50"/>
        <v>2038</v>
      </c>
      <c r="AM284" s="6">
        <f t="shared" si="50"/>
        <v>2039</v>
      </c>
      <c r="AN284" s="6">
        <f t="shared" si="50"/>
        <v>2040</v>
      </c>
      <c r="AO284" s="6">
        <f t="shared" si="50"/>
        <v>2041</v>
      </c>
      <c r="AP284" s="6">
        <f t="shared" si="50"/>
        <v>2042</v>
      </c>
      <c r="AQ284" s="6">
        <f t="shared" si="50"/>
        <v>2043</v>
      </c>
      <c r="AR284" s="6">
        <f t="shared" si="50"/>
        <v>2044</v>
      </c>
      <c r="AS284" s="6">
        <f t="shared" si="50"/>
        <v>2045</v>
      </c>
      <c r="AT284" s="6">
        <f t="shared" si="50"/>
        <v>2046</v>
      </c>
      <c r="AU284" s="6">
        <f t="shared" si="50"/>
        <v>2047</v>
      </c>
      <c r="AV284" s="6">
        <f t="shared" si="50"/>
        <v>2048</v>
      </c>
      <c r="AW284" s="6">
        <f t="shared" si="50"/>
        <v>2049</v>
      </c>
      <c r="AX284" s="6">
        <f t="shared" si="50"/>
        <v>2050</v>
      </c>
      <c r="AY284" s="6">
        <f t="shared" si="50"/>
        <v>2051</v>
      </c>
      <c r="AZ284" s="6">
        <f t="shared" si="50"/>
        <v>2052</v>
      </c>
      <c r="BA284" s="6">
        <f t="shared" si="50"/>
        <v>2053</v>
      </c>
      <c r="BB284" s="6">
        <f t="shared" si="50"/>
        <v>2054</v>
      </c>
      <c r="BC284" s="6">
        <f t="shared" si="50"/>
        <v>2055</v>
      </c>
      <c r="BD284" s="6">
        <f t="shared" si="50"/>
        <v>2056</v>
      </c>
      <c r="BE284" s="6">
        <f t="shared" si="50"/>
        <v>2057</v>
      </c>
      <c r="BF284" s="6">
        <f t="shared" si="50"/>
        <v>2058</v>
      </c>
      <c r="BG284" s="6">
        <f t="shared" si="50"/>
        <v>2059</v>
      </c>
      <c r="BH284" s="6">
        <f t="shared" si="50"/>
        <v>2060</v>
      </c>
      <c r="BI284" s="6">
        <f t="shared" si="50"/>
        <v>2061</v>
      </c>
    </row>
    <row r="285" spans="1:61" ht="30" customHeight="1">
      <c r="A285" s="719"/>
      <c r="B285" s="686" t="s">
        <v>530</v>
      </c>
      <c r="C285" s="681"/>
      <c r="D285" s="681"/>
      <c r="E285" s="681"/>
      <c r="F285" s="681"/>
      <c r="G285" s="681"/>
      <c r="H285" s="681"/>
      <c r="I285" s="681"/>
      <c r="J285" s="681"/>
      <c r="K285" s="681"/>
      <c r="L285" s="681"/>
      <c r="M285" s="681"/>
      <c r="N285" s="681"/>
      <c r="O285" s="681"/>
      <c r="P285" s="687"/>
      <c r="Q285" s="683">
        <f>DATE(2016,12,31)</f>
        <v>42735</v>
      </c>
      <c r="R285" s="683">
        <f>DATE(YEAR(Q285+1),12,31)</f>
        <v>43100</v>
      </c>
      <c r="S285" s="683">
        <f t="shared" ref="S285" si="51">DATE(YEAR(R285+1),12,31)</f>
        <v>43465</v>
      </c>
      <c r="T285" s="683">
        <f>DATE(YEAR(S285+1),12,31)</f>
        <v>43830</v>
      </c>
      <c r="U285" s="683">
        <f t="shared" ref="U285:BI285" si="52">DATE(YEAR(T285+1),12,31)</f>
        <v>44196</v>
      </c>
      <c r="V285" s="683">
        <f t="shared" si="52"/>
        <v>44561</v>
      </c>
      <c r="W285" s="683">
        <f t="shared" si="52"/>
        <v>44926</v>
      </c>
      <c r="X285" s="683">
        <f t="shared" si="52"/>
        <v>45291</v>
      </c>
      <c r="Y285" s="683">
        <f t="shared" si="52"/>
        <v>45657</v>
      </c>
      <c r="Z285" s="683">
        <f t="shared" si="52"/>
        <v>46022</v>
      </c>
      <c r="AA285" s="683">
        <f t="shared" si="52"/>
        <v>46387</v>
      </c>
      <c r="AB285" s="683">
        <f t="shared" si="52"/>
        <v>46752</v>
      </c>
      <c r="AC285" s="683">
        <f t="shared" si="52"/>
        <v>47118</v>
      </c>
      <c r="AD285" s="683">
        <f t="shared" si="52"/>
        <v>47483</v>
      </c>
      <c r="AE285" s="683">
        <f t="shared" si="52"/>
        <v>47848</v>
      </c>
      <c r="AF285" s="683">
        <f t="shared" si="52"/>
        <v>48213</v>
      </c>
      <c r="AG285" s="683">
        <f t="shared" si="52"/>
        <v>48579</v>
      </c>
      <c r="AH285" s="683">
        <f t="shared" si="52"/>
        <v>48944</v>
      </c>
      <c r="AI285" s="683">
        <f t="shared" si="52"/>
        <v>49309</v>
      </c>
      <c r="AJ285" s="683">
        <f t="shared" si="52"/>
        <v>49674</v>
      </c>
      <c r="AK285" s="683">
        <f t="shared" si="52"/>
        <v>50040</v>
      </c>
      <c r="AL285" s="683">
        <f t="shared" si="52"/>
        <v>50405</v>
      </c>
      <c r="AM285" s="683">
        <f t="shared" si="52"/>
        <v>50770</v>
      </c>
      <c r="AN285" s="683">
        <f t="shared" si="52"/>
        <v>51135</v>
      </c>
      <c r="AO285" s="683">
        <f t="shared" si="52"/>
        <v>51501</v>
      </c>
      <c r="AP285" s="683">
        <f t="shared" si="52"/>
        <v>51866</v>
      </c>
      <c r="AQ285" s="683">
        <f t="shared" si="52"/>
        <v>52231</v>
      </c>
      <c r="AR285" s="683">
        <f t="shared" si="52"/>
        <v>52596</v>
      </c>
      <c r="AS285" s="683">
        <f t="shared" si="52"/>
        <v>52962</v>
      </c>
      <c r="AT285" s="683">
        <f t="shared" si="52"/>
        <v>53327</v>
      </c>
      <c r="AU285" s="683">
        <f t="shared" si="52"/>
        <v>53692</v>
      </c>
      <c r="AV285" s="683">
        <f t="shared" si="52"/>
        <v>54057</v>
      </c>
      <c r="AW285" s="683">
        <f t="shared" si="52"/>
        <v>54423</v>
      </c>
      <c r="AX285" s="683">
        <f t="shared" si="52"/>
        <v>54788</v>
      </c>
      <c r="AY285" s="683">
        <f t="shared" si="52"/>
        <v>55153</v>
      </c>
      <c r="AZ285" s="683">
        <f t="shared" si="52"/>
        <v>55518</v>
      </c>
      <c r="BA285" s="683">
        <f t="shared" si="52"/>
        <v>55884</v>
      </c>
      <c r="BB285" s="683">
        <f t="shared" si="52"/>
        <v>56249</v>
      </c>
      <c r="BC285" s="683">
        <f t="shared" si="52"/>
        <v>56614</v>
      </c>
      <c r="BD285" s="683">
        <f t="shared" si="52"/>
        <v>56979</v>
      </c>
      <c r="BE285" s="683">
        <f t="shared" si="52"/>
        <v>57345</v>
      </c>
      <c r="BF285" s="683">
        <f t="shared" si="52"/>
        <v>57710</v>
      </c>
      <c r="BG285" s="683">
        <f t="shared" si="52"/>
        <v>58075</v>
      </c>
      <c r="BH285" s="683">
        <f t="shared" si="52"/>
        <v>58440</v>
      </c>
      <c r="BI285" s="683">
        <f t="shared" si="52"/>
        <v>58806</v>
      </c>
    </row>
    <row r="286" spans="1:61" ht="45">
      <c r="A286" s="8" t="s">
        <v>650</v>
      </c>
      <c r="B286" s="129" t="s">
        <v>42</v>
      </c>
      <c r="C286" s="13"/>
      <c r="D286" s="13"/>
      <c r="E286" s="13"/>
      <c r="F286" s="13"/>
      <c r="G286" s="13"/>
      <c r="H286" s="13"/>
      <c r="I286" s="13"/>
      <c r="J286" s="13"/>
      <c r="K286" s="13"/>
      <c r="L286" s="13"/>
      <c r="M286" s="13"/>
      <c r="N286" s="13"/>
      <c r="O286" s="13"/>
      <c r="P286" s="13"/>
      <c r="Q286" s="93"/>
      <c r="R286" s="93"/>
      <c r="S286" s="93"/>
      <c r="T286" s="204">
        <f>($T$275+(T$265*$Q239))*$T$256*$X$256</f>
        <v>0.85870297892304559</v>
      </c>
      <c r="U286" s="207">
        <f>$T286*U$215</f>
        <v>0.88789888020642915</v>
      </c>
      <c r="V286" s="10">
        <f t="shared" ref="V286:BI286" si="53">$T286*V$215</f>
        <v>0.93318172309695691</v>
      </c>
      <c r="W286" s="10">
        <f t="shared" si="53"/>
        <v>0.93318172309695691</v>
      </c>
      <c r="X286" s="10">
        <f t="shared" si="53"/>
        <v>0.93318172309695691</v>
      </c>
      <c r="Y286" s="10">
        <f t="shared" si="53"/>
        <v>0.93318172309695691</v>
      </c>
      <c r="Z286" s="10">
        <f t="shared" si="53"/>
        <v>0.93318172309695691</v>
      </c>
      <c r="AA286" s="10">
        <f t="shared" si="53"/>
        <v>0.93318172309695691</v>
      </c>
      <c r="AB286" s="10">
        <f t="shared" si="53"/>
        <v>0.93318172309695691</v>
      </c>
      <c r="AC286" s="10">
        <f t="shared" si="53"/>
        <v>0.93318172309695691</v>
      </c>
      <c r="AD286" s="10">
        <f t="shared" si="53"/>
        <v>0.93318172309695691</v>
      </c>
      <c r="AE286" s="10">
        <f t="shared" si="53"/>
        <v>0.93318172309695691</v>
      </c>
      <c r="AF286" s="10">
        <f t="shared" si="53"/>
        <v>0.93318172309695691</v>
      </c>
      <c r="AG286" s="10">
        <f t="shared" si="53"/>
        <v>0.93318172309695691</v>
      </c>
      <c r="AH286" s="10">
        <f t="shared" si="53"/>
        <v>0.93318172309695691</v>
      </c>
      <c r="AI286" s="10">
        <f t="shared" si="53"/>
        <v>0.93318172309695691</v>
      </c>
      <c r="AJ286" s="10">
        <f t="shared" si="53"/>
        <v>0.93318172309695691</v>
      </c>
      <c r="AK286" s="10">
        <f t="shared" si="53"/>
        <v>0.93318172309695691</v>
      </c>
      <c r="AL286" s="10">
        <f t="shared" si="53"/>
        <v>0.93318172309695691</v>
      </c>
      <c r="AM286" s="10">
        <f t="shared" si="53"/>
        <v>0.93318172309695691</v>
      </c>
      <c r="AN286" s="10">
        <f t="shared" si="53"/>
        <v>0.93318172309695691</v>
      </c>
      <c r="AO286" s="10">
        <f t="shared" si="53"/>
        <v>0.93318172309695691</v>
      </c>
      <c r="AP286" s="10">
        <f t="shared" si="53"/>
        <v>0.93318172309695691</v>
      </c>
      <c r="AQ286" s="10">
        <f t="shared" si="53"/>
        <v>0.93318172309695691</v>
      </c>
      <c r="AR286" s="10">
        <f t="shared" si="53"/>
        <v>0.93318172309695691</v>
      </c>
      <c r="AS286" s="10">
        <f t="shared" si="53"/>
        <v>0.93318172309695691</v>
      </c>
      <c r="AT286" s="10">
        <f t="shared" si="53"/>
        <v>0.93318172309695691</v>
      </c>
      <c r="AU286" s="10">
        <f t="shared" si="53"/>
        <v>0.93318172309695691</v>
      </c>
      <c r="AV286" s="10">
        <f t="shared" si="53"/>
        <v>0.93318172309695691</v>
      </c>
      <c r="AW286" s="10">
        <f t="shared" si="53"/>
        <v>0.93318172309695691</v>
      </c>
      <c r="AX286" s="10">
        <f t="shared" si="53"/>
        <v>0.93318172309695691</v>
      </c>
      <c r="AY286" s="10">
        <f t="shared" si="53"/>
        <v>0.93318172309695691</v>
      </c>
      <c r="AZ286" s="10">
        <f t="shared" si="53"/>
        <v>0.93318172309695691</v>
      </c>
      <c r="BA286" s="10">
        <f t="shared" si="53"/>
        <v>0.93318172309695691</v>
      </c>
      <c r="BB286" s="10">
        <f t="shared" si="53"/>
        <v>0.93318172309695691</v>
      </c>
      <c r="BC286" s="10">
        <f t="shared" si="53"/>
        <v>0.93318172309695691</v>
      </c>
      <c r="BD286" s="10">
        <f t="shared" si="53"/>
        <v>0.93318172309695691</v>
      </c>
      <c r="BE286" s="10">
        <f t="shared" si="53"/>
        <v>0.93318172309695691</v>
      </c>
      <c r="BF286" s="10">
        <f t="shared" si="53"/>
        <v>0.93318172309695691</v>
      </c>
      <c r="BG286" s="10">
        <f t="shared" si="53"/>
        <v>0.93318172309695691</v>
      </c>
      <c r="BH286" s="10">
        <f t="shared" si="53"/>
        <v>0.93318172309695691</v>
      </c>
      <c r="BI286" s="10">
        <f t="shared" si="53"/>
        <v>0.93318172309695691</v>
      </c>
    </row>
    <row r="287" spans="1:61"/>
    <row r="288" spans="1:61"/>
    <row r="289" spans="1:61">
      <c r="A289" s="720" t="s">
        <v>651</v>
      </c>
      <c r="B289" s="720"/>
      <c r="C289" s="720"/>
      <c r="D289" s="720"/>
      <c r="E289" s="720"/>
      <c r="F289" s="720"/>
      <c r="G289" s="720"/>
      <c r="H289" s="720"/>
      <c r="I289" s="720"/>
      <c r="J289" s="720"/>
      <c r="K289" s="720"/>
      <c r="L289" s="720"/>
      <c r="M289" s="720"/>
      <c r="N289" s="720"/>
      <c r="O289" s="720"/>
      <c r="P289" s="720"/>
      <c r="Q289" s="720"/>
      <c r="R289" s="720"/>
      <c r="S289" s="720"/>
      <c r="T289" s="720"/>
      <c r="U289" s="720"/>
      <c r="V289" s="720"/>
    </row>
    <row r="290" spans="1:61" s="613" customFormat="1">
      <c r="A290" s="720"/>
      <c r="B290" s="720"/>
      <c r="C290" s="720"/>
      <c r="D290" s="720"/>
      <c r="E290" s="720"/>
      <c r="F290" s="720"/>
      <c r="G290" s="720"/>
      <c r="H290" s="720"/>
      <c r="I290" s="720"/>
      <c r="J290" s="720"/>
      <c r="K290" s="720"/>
      <c r="L290" s="720"/>
      <c r="M290" s="720"/>
      <c r="N290" s="720"/>
      <c r="O290" s="720"/>
      <c r="P290" s="720"/>
      <c r="Q290" s="720"/>
      <c r="R290" s="720"/>
      <c r="S290" s="720"/>
      <c r="T290" s="720"/>
      <c r="U290" s="720"/>
      <c r="V290" s="720"/>
    </row>
    <row r="291" spans="1:61" s="613" customFormat="1">
      <c r="A291" s="782" t="s">
        <v>652</v>
      </c>
      <c r="B291" s="782"/>
      <c r="C291" s="782"/>
      <c r="D291" s="782"/>
      <c r="E291" s="782"/>
      <c r="F291" s="782"/>
      <c r="G291" s="782"/>
      <c r="H291" s="782"/>
      <c r="I291" s="782"/>
      <c r="J291" s="782"/>
      <c r="K291" s="782"/>
      <c r="L291" s="782"/>
      <c r="M291" s="782"/>
      <c r="N291" s="782"/>
      <c r="O291" s="782"/>
      <c r="P291" s="782"/>
      <c r="Q291" s="782"/>
      <c r="R291" s="782"/>
      <c r="S291" s="782"/>
      <c r="T291" s="782"/>
      <c r="U291" s="782"/>
      <c r="V291" s="782"/>
    </row>
    <row r="292" spans="1:61" s="613" customFormat="1">
      <c r="A292" s="782"/>
      <c r="B292" s="782"/>
      <c r="C292" s="782"/>
      <c r="D292" s="782"/>
      <c r="E292" s="782"/>
      <c r="F292" s="782"/>
      <c r="G292" s="782"/>
      <c r="H292" s="782"/>
      <c r="I292" s="782"/>
      <c r="J292" s="782"/>
      <c r="K292" s="782"/>
      <c r="L292" s="782"/>
      <c r="M292" s="782"/>
      <c r="N292" s="782"/>
      <c r="O292" s="782"/>
      <c r="P292" s="782"/>
      <c r="Q292" s="782"/>
      <c r="R292" s="782"/>
      <c r="S292" s="782"/>
      <c r="T292" s="782"/>
      <c r="U292" s="782"/>
      <c r="V292" s="782"/>
    </row>
    <row r="293" spans="1:61" s="613" customFormat="1" ht="15" customHeight="1">
      <c r="A293" s="780" t="s">
        <v>653</v>
      </c>
      <c r="B293" s="780"/>
      <c r="C293" s="780"/>
      <c r="D293" s="780"/>
      <c r="E293" s="780"/>
      <c r="F293" s="780"/>
      <c r="G293" s="780"/>
      <c r="H293" s="780"/>
      <c r="I293" s="780"/>
      <c r="J293" s="780"/>
      <c r="K293" s="780"/>
      <c r="L293" s="780"/>
      <c r="M293" s="780"/>
      <c r="N293" s="780"/>
      <c r="O293" s="780"/>
      <c r="P293" s="780"/>
      <c r="Q293" s="780"/>
      <c r="R293" s="780"/>
      <c r="S293" s="780"/>
      <c r="T293" s="780"/>
      <c r="U293" s="780"/>
      <c r="V293" s="780"/>
    </row>
    <row r="294" spans="1:61" s="613" customFormat="1">
      <c r="A294" s="780"/>
      <c r="B294" s="780"/>
      <c r="C294" s="780"/>
      <c r="D294" s="780"/>
      <c r="E294" s="780"/>
      <c r="F294" s="780"/>
      <c r="G294" s="780"/>
      <c r="H294" s="780"/>
      <c r="I294" s="780"/>
      <c r="J294" s="780"/>
      <c r="K294" s="780"/>
      <c r="L294" s="780"/>
      <c r="M294" s="780"/>
      <c r="N294" s="780"/>
      <c r="O294" s="780"/>
      <c r="P294" s="780"/>
      <c r="Q294" s="780"/>
      <c r="R294" s="780"/>
      <c r="S294" s="780"/>
      <c r="T294" s="780"/>
      <c r="U294" s="780"/>
      <c r="V294" s="780"/>
    </row>
    <row r="295" spans="1:61" s="613" customFormat="1">
      <c r="A295" s="780"/>
      <c r="B295" s="780"/>
      <c r="C295" s="780"/>
      <c r="D295" s="780"/>
      <c r="E295" s="780"/>
      <c r="F295" s="780"/>
      <c r="G295" s="780"/>
      <c r="H295" s="780"/>
      <c r="I295" s="780"/>
      <c r="J295" s="780"/>
      <c r="K295" s="780"/>
      <c r="L295" s="780"/>
      <c r="M295" s="780"/>
      <c r="N295" s="780"/>
      <c r="O295" s="780"/>
      <c r="P295" s="780"/>
      <c r="Q295" s="780"/>
      <c r="R295" s="780"/>
      <c r="S295" s="780"/>
      <c r="T295" s="780"/>
      <c r="U295" s="780"/>
      <c r="V295" s="780"/>
    </row>
    <row r="296" spans="1:61" s="613" customFormat="1">
      <c r="A296" s="781"/>
      <c r="B296" s="781"/>
      <c r="C296" s="781"/>
      <c r="D296" s="781"/>
      <c r="E296" s="781"/>
      <c r="F296" s="781"/>
      <c r="G296" s="781"/>
      <c r="H296" s="781"/>
      <c r="I296" s="781"/>
      <c r="J296" s="781"/>
      <c r="K296" s="781"/>
      <c r="L296" s="781"/>
      <c r="M296" s="781"/>
      <c r="N296" s="781"/>
      <c r="O296" s="781"/>
      <c r="P296" s="781"/>
      <c r="Q296" s="781"/>
      <c r="R296" s="781"/>
      <c r="S296" s="781"/>
      <c r="T296" s="781"/>
      <c r="U296" s="781"/>
      <c r="V296" s="781"/>
    </row>
    <row r="297" spans="1:61">
      <c r="A297" s="718"/>
      <c r="B297" s="685" t="s">
        <v>328</v>
      </c>
      <c r="C297" s="671"/>
      <c r="D297" s="671"/>
      <c r="E297" s="671"/>
      <c r="F297" s="671"/>
      <c r="G297" s="671"/>
      <c r="H297" s="671"/>
      <c r="I297" s="671"/>
      <c r="J297" s="671"/>
      <c r="K297" s="671"/>
      <c r="L297" s="671"/>
      <c r="M297" s="671"/>
      <c r="N297" s="671"/>
      <c r="O297" s="671"/>
      <c r="P297" s="674"/>
      <c r="Q297" s="6"/>
      <c r="R297" s="6"/>
      <c r="S297" s="6"/>
      <c r="T297" s="6">
        <v>2020</v>
      </c>
      <c r="U297" s="6">
        <f>T297+1</f>
        <v>2021</v>
      </c>
      <c r="V297" s="6">
        <f t="shared" ref="V297" si="54">U297+1</f>
        <v>2022</v>
      </c>
      <c r="W297" s="6">
        <f t="shared" ref="W297" si="55">V297+1</f>
        <v>2023</v>
      </c>
      <c r="X297" s="6">
        <f t="shared" ref="X297" si="56">W297+1</f>
        <v>2024</v>
      </c>
      <c r="Y297" s="6">
        <f t="shared" ref="Y297" si="57">X297+1</f>
        <v>2025</v>
      </c>
      <c r="Z297" s="6">
        <f t="shared" ref="Z297" si="58">Y297+1</f>
        <v>2026</v>
      </c>
      <c r="AA297" s="6">
        <f t="shared" ref="AA297" si="59">Z297+1</f>
        <v>2027</v>
      </c>
      <c r="AB297" s="6">
        <f t="shared" ref="AB297" si="60">AA297+1</f>
        <v>2028</v>
      </c>
      <c r="AC297" s="6">
        <f t="shared" ref="AC297" si="61">AB297+1</f>
        <v>2029</v>
      </c>
      <c r="AD297" s="6">
        <f t="shared" ref="AD297" si="62">AC297+1</f>
        <v>2030</v>
      </c>
      <c r="AE297" s="6">
        <f t="shared" ref="AE297" si="63">AD297+1</f>
        <v>2031</v>
      </c>
      <c r="AF297" s="6">
        <f t="shared" ref="AF297" si="64">AE297+1</f>
        <v>2032</v>
      </c>
      <c r="AG297" s="6">
        <f t="shared" ref="AG297" si="65">AF297+1</f>
        <v>2033</v>
      </c>
      <c r="AH297" s="6">
        <f t="shared" ref="AH297" si="66">AG297+1</f>
        <v>2034</v>
      </c>
      <c r="AI297" s="6">
        <f t="shared" ref="AI297" si="67">AH297+1</f>
        <v>2035</v>
      </c>
      <c r="AJ297" s="6">
        <f t="shared" ref="AJ297" si="68">AI297+1</f>
        <v>2036</v>
      </c>
      <c r="AK297" s="6">
        <f t="shared" ref="AK297" si="69">AJ297+1</f>
        <v>2037</v>
      </c>
      <c r="AL297" s="6">
        <f t="shared" ref="AL297" si="70">AK297+1</f>
        <v>2038</v>
      </c>
      <c r="AM297" s="6">
        <f t="shared" ref="AM297" si="71">AL297+1</f>
        <v>2039</v>
      </c>
      <c r="AN297" s="6">
        <f t="shared" ref="AN297" si="72">AM297+1</f>
        <v>2040</v>
      </c>
      <c r="AO297" s="6">
        <f t="shared" ref="AO297" si="73">AN297+1</f>
        <v>2041</v>
      </c>
      <c r="AP297" s="6">
        <f t="shared" ref="AP297" si="74">AO297+1</f>
        <v>2042</v>
      </c>
      <c r="AQ297" s="6">
        <f t="shared" ref="AQ297" si="75">AP297+1</f>
        <v>2043</v>
      </c>
      <c r="AR297" s="6">
        <f t="shared" ref="AR297" si="76">AQ297+1</f>
        <v>2044</v>
      </c>
      <c r="AS297" s="6">
        <f t="shared" ref="AS297" si="77">AR297+1</f>
        <v>2045</v>
      </c>
      <c r="AT297" s="6">
        <f t="shared" ref="AT297" si="78">AS297+1</f>
        <v>2046</v>
      </c>
      <c r="AU297" s="6">
        <f t="shared" ref="AU297" si="79">AT297+1</f>
        <v>2047</v>
      </c>
      <c r="AV297" s="6">
        <f t="shared" ref="AV297" si="80">AU297+1</f>
        <v>2048</v>
      </c>
      <c r="AW297" s="6">
        <f t="shared" ref="AW297" si="81">AV297+1</f>
        <v>2049</v>
      </c>
      <c r="AX297" s="6">
        <f t="shared" ref="AX297" si="82">AW297+1</f>
        <v>2050</v>
      </c>
      <c r="AY297" s="6">
        <f t="shared" ref="AY297" si="83">AX297+1</f>
        <v>2051</v>
      </c>
      <c r="AZ297" s="6">
        <f t="shared" ref="AZ297" si="84">AY297+1</f>
        <v>2052</v>
      </c>
      <c r="BA297" s="6">
        <f t="shared" ref="BA297" si="85">AZ297+1</f>
        <v>2053</v>
      </c>
      <c r="BB297" s="6">
        <f t="shared" ref="BB297" si="86">BA297+1</f>
        <v>2054</v>
      </c>
      <c r="BC297" s="6">
        <f t="shared" ref="BC297" si="87">BB297+1</f>
        <v>2055</v>
      </c>
      <c r="BD297" s="6">
        <f t="shared" ref="BD297" si="88">BC297+1</f>
        <v>2056</v>
      </c>
      <c r="BE297" s="6">
        <f t="shared" ref="BE297" si="89">BD297+1</f>
        <v>2057</v>
      </c>
      <c r="BF297" s="6">
        <f t="shared" ref="BF297" si="90">BE297+1</f>
        <v>2058</v>
      </c>
      <c r="BG297" s="6">
        <f t="shared" ref="BG297" si="91">BF297+1</f>
        <v>2059</v>
      </c>
      <c r="BH297" s="6">
        <f t="shared" ref="BH297" si="92">BG297+1</f>
        <v>2060</v>
      </c>
      <c r="BI297" s="6">
        <f t="shared" ref="BI297" si="93">BH297+1</f>
        <v>2061</v>
      </c>
    </row>
    <row r="298" spans="1:61">
      <c r="A298" s="719"/>
      <c r="B298" s="686" t="s">
        <v>530</v>
      </c>
      <c r="C298" s="681"/>
      <c r="D298" s="681"/>
      <c r="E298" s="681"/>
      <c r="F298" s="681"/>
      <c r="G298" s="681"/>
      <c r="H298" s="681"/>
      <c r="I298" s="681"/>
      <c r="J298" s="681"/>
      <c r="K298" s="681"/>
      <c r="L298" s="681"/>
      <c r="M298" s="681"/>
      <c r="N298" s="681"/>
      <c r="O298" s="681"/>
      <c r="P298" s="687"/>
      <c r="Q298" s="683">
        <f>DATE(2016,12,31)</f>
        <v>42735</v>
      </c>
      <c r="R298" s="683">
        <f>DATE(YEAR(Q298+1),12,31)</f>
        <v>43100</v>
      </c>
      <c r="S298" s="683">
        <f t="shared" ref="S298" si="94">DATE(YEAR(R298+1),12,31)</f>
        <v>43465</v>
      </c>
      <c r="T298" s="683">
        <f>DATE(YEAR(S298+1),12,31)</f>
        <v>43830</v>
      </c>
      <c r="U298" s="683">
        <f t="shared" ref="U298:BI298" si="95">DATE(YEAR(T298+1),12,31)</f>
        <v>44196</v>
      </c>
      <c r="V298" s="683">
        <f t="shared" si="95"/>
        <v>44561</v>
      </c>
      <c r="W298" s="683">
        <f t="shared" si="95"/>
        <v>44926</v>
      </c>
      <c r="X298" s="683">
        <f t="shared" si="95"/>
        <v>45291</v>
      </c>
      <c r="Y298" s="683">
        <f t="shared" si="95"/>
        <v>45657</v>
      </c>
      <c r="Z298" s="683">
        <f t="shared" si="95"/>
        <v>46022</v>
      </c>
      <c r="AA298" s="683">
        <f t="shared" si="95"/>
        <v>46387</v>
      </c>
      <c r="AB298" s="683">
        <f t="shared" si="95"/>
        <v>46752</v>
      </c>
      <c r="AC298" s="683">
        <f t="shared" si="95"/>
        <v>47118</v>
      </c>
      <c r="AD298" s="683">
        <f t="shared" si="95"/>
        <v>47483</v>
      </c>
      <c r="AE298" s="683">
        <f t="shared" si="95"/>
        <v>47848</v>
      </c>
      <c r="AF298" s="683">
        <f t="shared" si="95"/>
        <v>48213</v>
      </c>
      <c r="AG298" s="683">
        <f t="shared" si="95"/>
        <v>48579</v>
      </c>
      <c r="AH298" s="683">
        <f t="shared" si="95"/>
        <v>48944</v>
      </c>
      <c r="AI298" s="683">
        <f t="shared" si="95"/>
        <v>49309</v>
      </c>
      <c r="AJ298" s="683">
        <f t="shared" si="95"/>
        <v>49674</v>
      </c>
      <c r="AK298" s="683">
        <f t="shared" si="95"/>
        <v>50040</v>
      </c>
      <c r="AL298" s="683">
        <f t="shared" si="95"/>
        <v>50405</v>
      </c>
      <c r="AM298" s="683">
        <f t="shared" si="95"/>
        <v>50770</v>
      </c>
      <c r="AN298" s="683">
        <f t="shared" si="95"/>
        <v>51135</v>
      </c>
      <c r="AO298" s="683">
        <f t="shared" si="95"/>
        <v>51501</v>
      </c>
      <c r="AP298" s="683">
        <f t="shared" si="95"/>
        <v>51866</v>
      </c>
      <c r="AQ298" s="683">
        <f t="shared" si="95"/>
        <v>52231</v>
      </c>
      <c r="AR298" s="683">
        <f t="shared" si="95"/>
        <v>52596</v>
      </c>
      <c r="AS298" s="683">
        <f t="shared" si="95"/>
        <v>52962</v>
      </c>
      <c r="AT298" s="683">
        <f t="shared" si="95"/>
        <v>53327</v>
      </c>
      <c r="AU298" s="683">
        <f t="shared" si="95"/>
        <v>53692</v>
      </c>
      <c r="AV298" s="683">
        <f t="shared" si="95"/>
        <v>54057</v>
      </c>
      <c r="AW298" s="683">
        <f t="shared" si="95"/>
        <v>54423</v>
      </c>
      <c r="AX298" s="683">
        <f t="shared" si="95"/>
        <v>54788</v>
      </c>
      <c r="AY298" s="683">
        <f t="shared" si="95"/>
        <v>55153</v>
      </c>
      <c r="AZ298" s="683">
        <f t="shared" si="95"/>
        <v>55518</v>
      </c>
      <c r="BA298" s="683">
        <f t="shared" si="95"/>
        <v>55884</v>
      </c>
      <c r="BB298" s="683">
        <f t="shared" si="95"/>
        <v>56249</v>
      </c>
      <c r="BC298" s="683">
        <f t="shared" si="95"/>
        <v>56614</v>
      </c>
      <c r="BD298" s="683">
        <f t="shared" si="95"/>
        <v>56979</v>
      </c>
      <c r="BE298" s="683">
        <f t="shared" si="95"/>
        <v>57345</v>
      </c>
      <c r="BF298" s="683">
        <f t="shared" si="95"/>
        <v>57710</v>
      </c>
      <c r="BG298" s="683">
        <f t="shared" si="95"/>
        <v>58075</v>
      </c>
      <c r="BH298" s="683">
        <f t="shared" si="95"/>
        <v>58440</v>
      </c>
      <c r="BI298" s="683">
        <f t="shared" si="95"/>
        <v>58806</v>
      </c>
    </row>
    <row r="299" spans="1:61" s="613" customFormat="1" ht="30">
      <c r="A299" s="670" t="s">
        <v>533</v>
      </c>
      <c r="B299" s="685"/>
      <c r="C299" s="671"/>
      <c r="D299" s="671"/>
      <c r="E299" s="671"/>
      <c r="F299" s="671"/>
      <c r="G299" s="671"/>
      <c r="H299" s="671"/>
      <c r="I299" s="671"/>
      <c r="J299" s="671"/>
      <c r="K299" s="671"/>
      <c r="L299" s="671"/>
      <c r="M299" s="671"/>
      <c r="N299" s="671"/>
      <c r="O299" s="671"/>
      <c r="P299" s="674"/>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row>
    <row r="300" spans="1:61" s="613" customFormat="1">
      <c r="A300" s="8" t="str">
        <f t="shared" ref="A300:A313" si="96">"Prędkość "&amp;$S173&amp;" km/h"</f>
        <v>Prędkość 0-10 km/h</v>
      </c>
      <c r="B300" s="129" t="s">
        <v>42</v>
      </c>
      <c r="C300" s="13"/>
      <c r="D300" s="13"/>
      <c r="E300" s="13"/>
      <c r="F300" s="13"/>
      <c r="G300" s="13"/>
      <c r="H300" s="13"/>
      <c r="I300" s="13"/>
      <c r="J300" s="13"/>
      <c r="K300" s="13"/>
      <c r="L300" s="13"/>
      <c r="M300" s="13"/>
      <c r="N300" s="13"/>
      <c r="O300" s="13"/>
      <c r="P300" s="13"/>
      <c r="Q300" s="93"/>
      <c r="R300" s="93"/>
      <c r="S300" s="93"/>
      <c r="T300" s="10">
        <f t="shared" ref="T300:BI300" si="97">($T173*$T$205*T$215)*U$50+T$286*U$53</f>
        <v>1.4024734817481062</v>
      </c>
      <c r="U300" s="10">
        <f t="shared" si="97"/>
        <v>1.4461421819775833</v>
      </c>
      <c r="V300" s="10">
        <f t="shared" si="97"/>
        <v>1.5156752498028334</v>
      </c>
      <c r="W300" s="10">
        <f t="shared" si="97"/>
        <v>1.5114550663472268</v>
      </c>
      <c r="X300" s="10">
        <f t="shared" si="97"/>
        <v>1.5072348828916202</v>
      </c>
      <c r="Y300" s="10">
        <f t="shared" si="97"/>
        <v>1.5030146994360141</v>
      </c>
      <c r="Z300" s="10">
        <f t="shared" si="97"/>
        <v>1.4987945159804075</v>
      </c>
      <c r="AA300" s="10">
        <f t="shared" si="97"/>
        <v>1.4945743325248009</v>
      </c>
      <c r="AB300" s="10">
        <f t="shared" si="97"/>
        <v>1.4903541490691945</v>
      </c>
      <c r="AC300" s="10">
        <f t="shared" si="97"/>
        <v>1.4861339656135881</v>
      </c>
      <c r="AD300" s="10">
        <f t="shared" si="97"/>
        <v>1.4819137821579824</v>
      </c>
      <c r="AE300" s="10">
        <f t="shared" si="97"/>
        <v>1.4743850830830127</v>
      </c>
      <c r="AF300" s="10">
        <f t="shared" si="97"/>
        <v>1.4668563840080431</v>
      </c>
      <c r="AG300" s="10">
        <f t="shared" si="97"/>
        <v>1.4593276849330732</v>
      </c>
      <c r="AH300" s="10">
        <f t="shared" si="97"/>
        <v>1.4517989858581037</v>
      </c>
      <c r="AI300" s="10">
        <f t="shared" si="97"/>
        <v>1.4442702867831338</v>
      </c>
      <c r="AJ300" s="10">
        <f t="shared" si="97"/>
        <v>1.4367415877081644</v>
      </c>
      <c r="AK300" s="10">
        <f t="shared" si="97"/>
        <v>1.4292128886331945</v>
      </c>
      <c r="AL300" s="10">
        <f t="shared" si="97"/>
        <v>1.4216841895582248</v>
      </c>
      <c r="AM300" s="10">
        <f t="shared" si="97"/>
        <v>1.4141554904832552</v>
      </c>
      <c r="AN300" s="10">
        <f t="shared" si="97"/>
        <v>1.4066267914082855</v>
      </c>
      <c r="AO300" s="10">
        <f t="shared" si="97"/>
        <v>1.3990980923333161</v>
      </c>
      <c r="AP300" s="10">
        <f t="shared" si="97"/>
        <v>1.3915693932583462</v>
      </c>
      <c r="AQ300" s="10">
        <f t="shared" si="97"/>
        <v>1.3840406941833765</v>
      </c>
      <c r="AR300" s="10">
        <f t="shared" si="97"/>
        <v>1.3765119951084068</v>
      </c>
      <c r="AS300" s="10">
        <f t="shared" si="97"/>
        <v>1.3689832960334372</v>
      </c>
      <c r="AT300" s="10">
        <f t="shared" si="97"/>
        <v>1.3614545969584673</v>
      </c>
      <c r="AU300" s="10">
        <f t="shared" si="97"/>
        <v>1.3539258978834978</v>
      </c>
      <c r="AV300" s="10">
        <f t="shared" si="97"/>
        <v>1.3463971988085279</v>
      </c>
      <c r="AW300" s="10">
        <f t="shared" si="97"/>
        <v>1.3388684997335585</v>
      </c>
      <c r="AX300" s="10">
        <f t="shared" si="97"/>
        <v>1.3313398006585904</v>
      </c>
      <c r="AY300" s="10">
        <f t="shared" si="97"/>
        <v>1.3313398006585904</v>
      </c>
      <c r="AZ300" s="10">
        <f t="shared" si="97"/>
        <v>1.3313398006585904</v>
      </c>
      <c r="BA300" s="10">
        <f t="shared" si="97"/>
        <v>1.3313398006585904</v>
      </c>
      <c r="BB300" s="10">
        <f t="shared" si="97"/>
        <v>1.3313398006585904</v>
      </c>
      <c r="BC300" s="10">
        <f t="shared" si="97"/>
        <v>1.3313398006585904</v>
      </c>
      <c r="BD300" s="10">
        <f t="shared" si="97"/>
        <v>1.3313398006585904</v>
      </c>
      <c r="BE300" s="10">
        <f t="shared" si="97"/>
        <v>1.3313398006585904</v>
      </c>
      <c r="BF300" s="10">
        <f t="shared" si="97"/>
        <v>1.3313398006585904</v>
      </c>
      <c r="BG300" s="10">
        <f t="shared" si="97"/>
        <v>1.3313398006585904</v>
      </c>
      <c r="BH300" s="10">
        <f t="shared" si="97"/>
        <v>1.3313398006585904</v>
      </c>
      <c r="BI300" s="10">
        <f t="shared" si="97"/>
        <v>1.3313398006585904</v>
      </c>
    </row>
    <row r="301" spans="1:61" s="613" customFormat="1">
      <c r="A301" s="8" t="str">
        <f t="shared" si="96"/>
        <v>Prędkość 11-20 km/h</v>
      </c>
      <c r="B301" s="129" t="s">
        <v>42</v>
      </c>
      <c r="C301" s="13"/>
      <c r="D301" s="13"/>
      <c r="E301" s="13"/>
      <c r="F301" s="13"/>
      <c r="G301" s="13"/>
      <c r="H301" s="13"/>
      <c r="I301" s="13"/>
      <c r="J301" s="13"/>
      <c r="K301" s="13"/>
      <c r="L301" s="13"/>
      <c r="M301" s="13"/>
      <c r="N301" s="13"/>
      <c r="O301" s="13"/>
      <c r="P301" s="13"/>
      <c r="Q301" s="93"/>
      <c r="R301" s="93"/>
      <c r="S301" s="93"/>
      <c r="T301" s="10">
        <f t="shared" ref="T301:BI301" si="98">($T174*$T$205*T$215)*U$50+T$286*U$53</f>
        <v>1.1857340974861923</v>
      </c>
      <c r="U301" s="10">
        <f t="shared" si="98"/>
        <v>1.223634140688806</v>
      </c>
      <c r="V301" s="10">
        <f t="shared" si="98"/>
        <v>1.2835014050303104</v>
      </c>
      <c r="W301" s="10">
        <f t="shared" si="98"/>
        <v>1.2809633281966857</v>
      </c>
      <c r="X301" s="10">
        <f t="shared" si="98"/>
        <v>1.2784252513630612</v>
      </c>
      <c r="Y301" s="10">
        <f t="shared" si="98"/>
        <v>1.2758871745294367</v>
      </c>
      <c r="Z301" s="10">
        <f t="shared" si="98"/>
        <v>1.2733490976958119</v>
      </c>
      <c r="AA301" s="10">
        <f t="shared" si="98"/>
        <v>1.2708110208621872</v>
      </c>
      <c r="AB301" s="10">
        <f t="shared" si="98"/>
        <v>1.2682729440285629</v>
      </c>
      <c r="AC301" s="10">
        <f t="shared" si="98"/>
        <v>1.2657348671949382</v>
      </c>
      <c r="AD301" s="10">
        <f t="shared" si="98"/>
        <v>1.2631967903613144</v>
      </c>
      <c r="AE301" s="10">
        <f t="shared" si="98"/>
        <v>1.2586689263690214</v>
      </c>
      <c r="AF301" s="10">
        <f t="shared" si="98"/>
        <v>1.2541410623767282</v>
      </c>
      <c r="AG301" s="10">
        <f t="shared" si="98"/>
        <v>1.2496131983844352</v>
      </c>
      <c r="AH301" s="10">
        <f t="shared" si="98"/>
        <v>1.2450853343921422</v>
      </c>
      <c r="AI301" s="10">
        <f t="shared" si="98"/>
        <v>1.240557470399849</v>
      </c>
      <c r="AJ301" s="10">
        <f t="shared" si="98"/>
        <v>1.2360296064075562</v>
      </c>
      <c r="AK301" s="10">
        <f t="shared" si="98"/>
        <v>1.231501742415263</v>
      </c>
      <c r="AL301" s="10">
        <f t="shared" si="98"/>
        <v>1.2269738784229698</v>
      </c>
      <c r="AM301" s="10">
        <f t="shared" si="98"/>
        <v>1.222446014430677</v>
      </c>
      <c r="AN301" s="10">
        <f t="shared" si="98"/>
        <v>1.2179181504383838</v>
      </c>
      <c r="AO301" s="10">
        <f t="shared" si="98"/>
        <v>1.213390286446091</v>
      </c>
      <c r="AP301" s="10">
        <f t="shared" si="98"/>
        <v>1.2088624224537978</v>
      </c>
      <c r="AQ301" s="10">
        <f t="shared" si="98"/>
        <v>1.2043345584615048</v>
      </c>
      <c r="AR301" s="10">
        <f t="shared" si="98"/>
        <v>1.1998066944692116</v>
      </c>
      <c r="AS301" s="10">
        <f t="shared" si="98"/>
        <v>1.1952788304769186</v>
      </c>
      <c r="AT301" s="10">
        <f t="shared" si="98"/>
        <v>1.1907509664846256</v>
      </c>
      <c r="AU301" s="10">
        <f t="shared" si="98"/>
        <v>1.1862231024923326</v>
      </c>
      <c r="AV301" s="10">
        <f t="shared" si="98"/>
        <v>1.1816952385000394</v>
      </c>
      <c r="AW301" s="10">
        <f t="shared" si="98"/>
        <v>1.1771673745077464</v>
      </c>
      <c r="AX301" s="10">
        <f t="shared" si="98"/>
        <v>1.172639510515455</v>
      </c>
      <c r="AY301" s="10">
        <f t="shared" si="98"/>
        <v>1.172639510515455</v>
      </c>
      <c r="AZ301" s="10">
        <f t="shared" si="98"/>
        <v>1.172639510515455</v>
      </c>
      <c r="BA301" s="10">
        <f t="shared" si="98"/>
        <v>1.172639510515455</v>
      </c>
      <c r="BB301" s="10">
        <f t="shared" si="98"/>
        <v>1.172639510515455</v>
      </c>
      <c r="BC301" s="10">
        <f t="shared" si="98"/>
        <v>1.172639510515455</v>
      </c>
      <c r="BD301" s="10">
        <f t="shared" si="98"/>
        <v>1.172639510515455</v>
      </c>
      <c r="BE301" s="10">
        <f t="shared" si="98"/>
        <v>1.172639510515455</v>
      </c>
      <c r="BF301" s="10">
        <f t="shared" si="98"/>
        <v>1.172639510515455</v>
      </c>
      <c r="BG301" s="10">
        <f t="shared" si="98"/>
        <v>1.172639510515455</v>
      </c>
      <c r="BH301" s="10">
        <f t="shared" si="98"/>
        <v>1.172639510515455</v>
      </c>
      <c r="BI301" s="10">
        <f t="shared" si="98"/>
        <v>1.172639510515455</v>
      </c>
    </row>
    <row r="302" spans="1:61" s="613" customFormat="1">
      <c r="A302" s="8" t="str">
        <f t="shared" si="96"/>
        <v>Prędkość 21-30 km/h</v>
      </c>
      <c r="B302" s="129" t="s">
        <v>42</v>
      </c>
      <c r="C302" s="13"/>
      <c r="D302" s="13"/>
      <c r="E302" s="13"/>
      <c r="F302" s="13"/>
      <c r="G302" s="13"/>
      <c r="H302" s="13"/>
      <c r="I302" s="13"/>
      <c r="J302" s="13"/>
      <c r="K302" s="13"/>
      <c r="L302" s="13"/>
      <c r="M302" s="13"/>
      <c r="N302" s="13"/>
      <c r="O302" s="13"/>
      <c r="P302" s="13"/>
      <c r="Q302" s="93"/>
      <c r="R302" s="93"/>
      <c r="S302" s="93"/>
      <c r="T302" s="10">
        <f t="shared" ref="T302:BI302" si="99">($T175*$T$205*T$215)*U$50+T$286*U$53</f>
        <v>1.0965988074994615</v>
      </c>
      <c r="U302" s="10">
        <f t="shared" si="99"/>
        <v>1.1321264580763672</v>
      </c>
      <c r="V302" s="10">
        <f t="shared" si="99"/>
        <v>1.1880186064074041</v>
      </c>
      <c r="W302" s="10">
        <f t="shared" si="99"/>
        <v>1.1861723053765461</v>
      </c>
      <c r="X302" s="10">
        <f t="shared" si="99"/>
        <v>1.1843260043456882</v>
      </c>
      <c r="Y302" s="10">
        <f t="shared" si="99"/>
        <v>1.1824797033148304</v>
      </c>
      <c r="Z302" s="10">
        <f t="shared" si="99"/>
        <v>1.1806334022839726</v>
      </c>
      <c r="AA302" s="10">
        <f t="shared" si="99"/>
        <v>1.1787871012531146</v>
      </c>
      <c r="AB302" s="10">
        <f t="shared" si="99"/>
        <v>1.176940800222257</v>
      </c>
      <c r="AC302" s="10">
        <f t="shared" si="99"/>
        <v>1.175094499191399</v>
      </c>
      <c r="AD302" s="10">
        <f t="shared" si="99"/>
        <v>1.1732481981605418</v>
      </c>
      <c r="AE302" s="10">
        <f t="shared" si="99"/>
        <v>1.1699544444625436</v>
      </c>
      <c r="AF302" s="10">
        <f t="shared" si="99"/>
        <v>1.1666606907645454</v>
      </c>
      <c r="AG302" s="10">
        <f t="shared" si="99"/>
        <v>1.1633669370665469</v>
      </c>
      <c r="AH302" s="10">
        <f t="shared" si="99"/>
        <v>1.1600731833685487</v>
      </c>
      <c r="AI302" s="10">
        <f t="shared" si="99"/>
        <v>1.1567794296705505</v>
      </c>
      <c r="AJ302" s="10">
        <f t="shared" si="99"/>
        <v>1.1534856759725522</v>
      </c>
      <c r="AK302" s="10">
        <f t="shared" si="99"/>
        <v>1.150191922274554</v>
      </c>
      <c r="AL302" s="10">
        <f t="shared" si="99"/>
        <v>1.1468981685765556</v>
      </c>
      <c r="AM302" s="10">
        <f t="shared" si="99"/>
        <v>1.1436044148785574</v>
      </c>
      <c r="AN302" s="10">
        <f t="shared" si="99"/>
        <v>1.1403106611805591</v>
      </c>
      <c r="AO302" s="10">
        <f t="shared" si="99"/>
        <v>1.1370169074825609</v>
      </c>
      <c r="AP302" s="10">
        <f t="shared" si="99"/>
        <v>1.1337231537845627</v>
      </c>
      <c r="AQ302" s="10">
        <f t="shared" si="99"/>
        <v>1.1304294000865642</v>
      </c>
      <c r="AR302" s="10">
        <f t="shared" si="99"/>
        <v>1.127135646388566</v>
      </c>
      <c r="AS302" s="10">
        <f t="shared" si="99"/>
        <v>1.1238418926905678</v>
      </c>
      <c r="AT302" s="10">
        <f t="shared" si="99"/>
        <v>1.1205481389925693</v>
      </c>
      <c r="AU302" s="10">
        <f t="shared" si="99"/>
        <v>1.1172543852945713</v>
      </c>
      <c r="AV302" s="10">
        <f t="shared" si="99"/>
        <v>1.1139606315965729</v>
      </c>
      <c r="AW302" s="10">
        <f t="shared" si="99"/>
        <v>1.1106668778985747</v>
      </c>
      <c r="AX302" s="10">
        <f t="shared" si="99"/>
        <v>1.1073731242005778</v>
      </c>
      <c r="AY302" s="10">
        <f t="shared" si="99"/>
        <v>1.1073731242005778</v>
      </c>
      <c r="AZ302" s="10">
        <f t="shared" si="99"/>
        <v>1.1073731242005778</v>
      </c>
      <c r="BA302" s="10">
        <f t="shared" si="99"/>
        <v>1.1073731242005778</v>
      </c>
      <c r="BB302" s="10">
        <f t="shared" si="99"/>
        <v>1.1073731242005778</v>
      </c>
      <c r="BC302" s="10">
        <f t="shared" si="99"/>
        <v>1.1073731242005778</v>
      </c>
      <c r="BD302" s="10">
        <f t="shared" si="99"/>
        <v>1.1073731242005778</v>
      </c>
      <c r="BE302" s="10">
        <f t="shared" si="99"/>
        <v>1.1073731242005778</v>
      </c>
      <c r="BF302" s="10">
        <f t="shared" si="99"/>
        <v>1.1073731242005778</v>
      </c>
      <c r="BG302" s="10">
        <f t="shared" si="99"/>
        <v>1.1073731242005778</v>
      </c>
      <c r="BH302" s="10">
        <f t="shared" si="99"/>
        <v>1.1073731242005778</v>
      </c>
      <c r="BI302" s="10">
        <f t="shared" si="99"/>
        <v>1.1073731242005778</v>
      </c>
    </row>
    <row r="303" spans="1:61" s="613" customFormat="1">
      <c r="A303" s="8" t="str">
        <f t="shared" si="96"/>
        <v>Prędkość 31-40 km/h</v>
      </c>
      <c r="B303" s="129" t="s">
        <v>42</v>
      </c>
      <c r="C303" s="13"/>
      <c r="D303" s="13"/>
      <c r="E303" s="13"/>
      <c r="F303" s="13"/>
      <c r="G303" s="13"/>
      <c r="H303" s="13"/>
      <c r="I303" s="13"/>
      <c r="J303" s="13"/>
      <c r="K303" s="13"/>
      <c r="L303" s="13"/>
      <c r="M303" s="13"/>
      <c r="N303" s="13"/>
      <c r="O303" s="13"/>
      <c r="P303" s="13"/>
      <c r="Q303" s="93"/>
      <c r="R303" s="93"/>
      <c r="S303" s="93"/>
      <c r="T303" s="10">
        <f t="shared" ref="T303:BI303" si="100">($T176*$T$205*T$215)*U$50+T$286*U$53</f>
        <v>1.0430131014127211</v>
      </c>
      <c r="U303" s="10">
        <f t="shared" si="100"/>
        <v>1.0771145342257931</v>
      </c>
      <c r="V303" s="10">
        <f t="shared" si="100"/>
        <v>1.130616951191965</v>
      </c>
      <c r="W303" s="10">
        <f t="shared" si="100"/>
        <v>1.1291865269126216</v>
      </c>
      <c r="X303" s="10">
        <f t="shared" si="100"/>
        <v>1.1277561026332781</v>
      </c>
      <c r="Y303" s="10">
        <f t="shared" si="100"/>
        <v>1.1263256783539348</v>
      </c>
      <c r="Z303" s="10">
        <f t="shared" si="100"/>
        <v>1.1248952540745913</v>
      </c>
      <c r="AA303" s="10">
        <f t="shared" si="100"/>
        <v>1.1234648297952479</v>
      </c>
      <c r="AB303" s="10">
        <f t="shared" si="100"/>
        <v>1.1220344055159044</v>
      </c>
      <c r="AC303" s="10">
        <f t="shared" si="100"/>
        <v>1.1206039812365609</v>
      </c>
      <c r="AD303" s="10">
        <f t="shared" si="100"/>
        <v>1.1191735569572181</v>
      </c>
      <c r="AE303" s="10">
        <f t="shared" si="100"/>
        <v>1.1166217167204153</v>
      </c>
      <c r="AF303" s="10">
        <f t="shared" si="100"/>
        <v>1.1140698764836121</v>
      </c>
      <c r="AG303" s="10">
        <f t="shared" si="100"/>
        <v>1.1115180362468091</v>
      </c>
      <c r="AH303" s="10">
        <f t="shared" si="100"/>
        <v>1.1089661960100061</v>
      </c>
      <c r="AI303" s="10">
        <f t="shared" si="100"/>
        <v>1.1064143557732031</v>
      </c>
      <c r="AJ303" s="10">
        <f t="shared" si="100"/>
        <v>1.1038625155364001</v>
      </c>
      <c r="AK303" s="10">
        <f t="shared" si="100"/>
        <v>1.1013106752995974</v>
      </c>
      <c r="AL303" s="10">
        <f t="shared" si="100"/>
        <v>1.0987588350627941</v>
      </c>
      <c r="AM303" s="10">
        <f t="shared" si="100"/>
        <v>1.0962069948259912</v>
      </c>
      <c r="AN303" s="10">
        <f t="shared" si="100"/>
        <v>1.0936551545891882</v>
      </c>
      <c r="AO303" s="10">
        <f t="shared" si="100"/>
        <v>1.0911033143523852</v>
      </c>
      <c r="AP303" s="10">
        <f t="shared" si="100"/>
        <v>1.0885514741155822</v>
      </c>
      <c r="AQ303" s="10">
        <f t="shared" si="100"/>
        <v>1.0859996338787792</v>
      </c>
      <c r="AR303" s="10">
        <f t="shared" si="100"/>
        <v>1.0834477936419762</v>
      </c>
      <c r="AS303" s="10">
        <f t="shared" si="100"/>
        <v>1.0808959534051732</v>
      </c>
      <c r="AT303" s="10">
        <f t="shared" si="100"/>
        <v>1.0783441131683702</v>
      </c>
      <c r="AU303" s="10">
        <f t="shared" si="100"/>
        <v>1.0757922729315672</v>
      </c>
      <c r="AV303" s="10">
        <f t="shared" si="100"/>
        <v>1.0732404326947642</v>
      </c>
      <c r="AW303" s="10">
        <f t="shared" si="100"/>
        <v>1.0706885924579612</v>
      </c>
      <c r="AX303" s="10">
        <f t="shared" si="100"/>
        <v>1.0681367522211596</v>
      </c>
      <c r="AY303" s="10">
        <f t="shared" si="100"/>
        <v>1.0681367522211596</v>
      </c>
      <c r="AZ303" s="10">
        <f t="shared" si="100"/>
        <v>1.0681367522211596</v>
      </c>
      <c r="BA303" s="10">
        <f t="shared" si="100"/>
        <v>1.0681367522211596</v>
      </c>
      <c r="BB303" s="10">
        <f t="shared" si="100"/>
        <v>1.0681367522211596</v>
      </c>
      <c r="BC303" s="10">
        <f t="shared" si="100"/>
        <v>1.0681367522211596</v>
      </c>
      <c r="BD303" s="10">
        <f t="shared" si="100"/>
        <v>1.0681367522211596</v>
      </c>
      <c r="BE303" s="10">
        <f t="shared" si="100"/>
        <v>1.0681367522211596</v>
      </c>
      <c r="BF303" s="10">
        <f t="shared" si="100"/>
        <v>1.0681367522211596</v>
      </c>
      <c r="BG303" s="10">
        <f t="shared" si="100"/>
        <v>1.0681367522211596</v>
      </c>
      <c r="BH303" s="10">
        <f t="shared" si="100"/>
        <v>1.0681367522211596</v>
      </c>
      <c r="BI303" s="10">
        <f t="shared" si="100"/>
        <v>1.0681367522211596</v>
      </c>
    </row>
    <row r="304" spans="1:61" s="613" customFormat="1">
      <c r="A304" s="8" t="str">
        <f t="shared" si="96"/>
        <v>Prędkość 41-50 km/h</v>
      </c>
      <c r="B304" s="129" t="s">
        <v>42</v>
      </c>
      <c r="C304" s="13"/>
      <c r="D304" s="13"/>
      <c r="E304" s="13"/>
      <c r="F304" s="13"/>
      <c r="G304" s="13"/>
      <c r="H304" s="13"/>
      <c r="I304" s="13"/>
      <c r="J304" s="13"/>
      <c r="K304" s="13"/>
      <c r="L304" s="13"/>
      <c r="M304" s="13"/>
      <c r="N304" s="13"/>
      <c r="O304" s="13"/>
      <c r="P304" s="13"/>
      <c r="Q304" s="93"/>
      <c r="R304" s="93"/>
      <c r="S304" s="93"/>
      <c r="T304" s="10">
        <f t="shared" ref="T304:BI304" si="101">($T177*$T$205*T$215)*U$50+T$286*U$53</f>
        <v>1.0076003273740135</v>
      </c>
      <c r="U304" s="10">
        <f t="shared" si="101"/>
        <v>1.0407592266069761</v>
      </c>
      <c r="V304" s="10">
        <f t="shared" si="101"/>
        <v>1.0926823601593922</v>
      </c>
      <c r="W304" s="10">
        <f t="shared" si="101"/>
        <v>1.0915267731548528</v>
      </c>
      <c r="X304" s="10">
        <f t="shared" si="101"/>
        <v>1.0903711861503136</v>
      </c>
      <c r="Y304" s="10">
        <f t="shared" si="101"/>
        <v>1.0892155991457744</v>
      </c>
      <c r="Z304" s="10">
        <f t="shared" si="101"/>
        <v>1.0880600121412349</v>
      </c>
      <c r="AA304" s="10">
        <f t="shared" si="101"/>
        <v>1.0869044251366955</v>
      </c>
      <c r="AB304" s="10">
        <f t="shared" si="101"/>
        <v>1.0857488381321563</v>
      </c>
      <c r="AC304" s="10">
        <f t="shared" si="101"/>
        <v>1.0845932511276168</v>
      </c>
      <c r="AD304" s="10">
        <f t="shared" si="101"/>
        <v>1.0834376641230781</v>
      </c>
      <c r="AE304" s="10">
        <f t="shared" si="101"/>
        <v>1.081376126537416</v>
      </c>
      <c r="AF304" s="10">
        <f t="shared" si="101"/>
        <v>1.0793145889517537</v>
      </c>
      <c r="AG304" s="10">
        <f t="shared" si="101"/>
        <v>1.0772530513660916</v>
      </c>
      <c r="AH304" s="10">
        <f t="shared" si="101"/>
        <v>1.0751915137804295</v>
      </c>
      <c r="AI304" s="10">
        <f t="shared" si="101"/>
        <v>1.0731299761947675</v>
      </c>
      <c r="AJ304" s="10">
        <f t="shared" si="101"/>
        <v>1.0710684386091054</v>
      </c>
      <c r="AK304" s="10">
        <f t="shared" si="101"/>
        <v>1.0690069010234433</v>
      </c>
      <c r="AL304" s="10">
        <f t="shared" si="101"/>
        <v>1.066945363437781</v>
      </c>
      <c r="AM304" s="10">
        <f t="shared" si="101"/>
        <v>1.0648838258521189</v>
      </c>
      <c r="AN304" s="10">
        <f t="shared" si="101"/>
        <v>1.0628222882664569</v>
      </c>
      <c r="AO304" s="10">
        <f t="shared" si="101"/>
        <v>1.0607607506807946</v>
      </c>
      <c r="AP304" s="10">
        <f t="shared" si="101"/>
        <v>1.0586992130951325</v>
      </c>
      <c r="AQ304" s="10">
        <f t="shared" si="101"/>
        <v>1.0566376755094704</v>
      </c>
      <c r="AR304" s="10">
        <f t="shared" si="101"/>
        <v>1.0545761379238081</v>
      </c>
      <c r="AS304" s="10">
        <f t="shared" si="101"/>
        <v>1.052514600338146</v>
      </c>
      <c r="AT304" s="10">
        <f t="shared" si="101"/>
        <v>1.050453062752484</v>
      </c>
      <c r="AU304" s="10">
        <f t="shared" si="101"/>
        <v>1.0483915251668217</v>
      </c>
      <c r="AV304" s="10">
        <f t="shared" si="101"/>
        <v>1.0463299875811596</v>
      </c>
      <c r="AW304" s="10">
        <f t="shared" si="101"/>
        <v>1.0442684499954975</v>
      </c>
      <c r="AX304" s="10">
        <f t="shared" si="101"/>
        <v>1.0422069124098368</v>
      </c>
      <c r="AY304" s="10">
        <f t="shared" si="101"/>
        <v>1.0422069124098368</v>
      </c>
      <c r="AZ304" s="10">
        <f t="shared" si="101"/>
        <v>1.0422069124098368</v>
      </c>
      <c r="BA304" s="10">
        <f t="shared" si="101"/>
        <v>1.0422069124098368</v>
      </c>
      <c r="BB304" s="10">
        <f t="shared" si="101"/>
        <v>1.0422069124098368</v>
      </c>
      <c r="BC304" s="10">
        <f t="shared" si="101"/>
        <v>1.0422069124098368</v>
      </c>
      <c r="BD304" s="10">
        <f t="shared" si="101"/>
        <v>1.0422069124098368</v>
      </c>
      <c r="BE304" s="10">
        <f t="shared" si="101"/>
        <v>1.0422069124098368</v>
      </c>
      <c r="BF304" s="10">
        <f t="shared" si="101"/>
        <v>1.0422069124098368</v>
      </c>
      <c r="BG304" s="10">
        <f t="shared" si="101"/>
        <v>1.0422069124098368</v>
      </c>
      <c r="BH304" s="10">
        <f t="shared" si="101"/>
        <v>1.0422069124098368</v>
      </c>
      <c r="BI304" s="10">
        <f t="shared" si="101"/>
        <v>1.0422069124098368</v>
      </c>
    </row>
    <row r="305" spans="1:61" s="613" customFormat="1">
      <c r="A305" s="8" t="str">
        <f t="shared" si="96"/>
        <v>Prędkość 51-60 km/h</v>
      </c>
      <c r="B305" s="129" t="s">
        <v>42</v>
      </c>
      <c r="C305" s="13"/>
      <c r="D305" s="13"/>
      <c r="E305" s="13"/>
      <c r="F305" s="13"/>
      <c r="G305" s="13"/>
      <c r="H305" s="13"/>
      <c r="I305" s="13"/>
      <c r="J305" s="13"/>
      <c r="K305" s="13"/>
      <c r="L305" s="13"/>
      <c r="M305" s="13"/>
      <c r="N305" s="13"/>
      <c r="O305" s="13"/>
      <c r="P305" s="13"/>
      <c r="Q305" s="93"/>
      <c r="R305" s="93"/>
      <c r="S305" s="93"/>
      <c r="T305" s="10">
        <f t="shared" ref="T305:BI305" si="102">($T178*$T$205*T$215)*U$50+T$286*U$53</f>
        <v>0.98395245074446303</v>
      </c>
      <c r="U305" s="10">
        <f t="shared" si="102"/>
        <v>1.0164819466497654</v>
      </c>
      <c r="V305" s="10">
        <f t="shared" si="102"/>
        <v>1.0673504692504736</v>
      </c>
      <c r="W305" s="10">
        <f t="shared" si="102"/>
        <v>1.0663784125720437</v>
      </c>
      <c r="X305" s="10">
        <f t="shared" si="102"/>
        <v>1.065406355893614</v>
      </c>
      <c r="Y305" s="10">
        <f t="shared" si="102"/>
        <v>1.0644342992151843</v>
      </c>
      <c r="Z305" s="10">
        <f t="shared" si="102"/>
        <v>1.0634622425367546</v>
      </c>
      <c r="AA305" s="10">
        <f t="shared" si="102"/>
        <v>1.0624901858583247</v>
      </c>
      <c r="AB305" s="10">
        <f t="shared" si="102"/>
        <v>1.061518129179895</v>
      </c>
      <c r="AC305" s="10">
        <f t="shared" si="102"/>
        <v>1.060546072501465</v>
      </c>
      <c r="AD305" s="10">
        <f t="shared" si="102"/>
        <v>1.059574015823036</v>
      </c>
      <c r="AE305" s="10">
        <f t="shared" si="102"/>
        <v>1.0578398916332477</v>
      </c>
      <c r="AF305" s="10">
        <f t="shared" si="102"/>
        <v>1.0561057674434591</v>
      </c>
      <c r="AG305" s="10">
        <f t="shared" si="102"/>
        <v>1.0543716432536705</v>
      </c>
      <c r="AH305" s="10">
        <f t="shared" si="102"/>
        <v>1.0526375190638821</v>
      </c>
      <c r="AI305" s="10">
        <f t="shared" si="102"/>
        <v>1.0509033948740938</v>
      </c>
      <c r="AJ305" s="10">
        <f t="shared" si="102"/>
        <v>1.0491692706843052</v>
      </c>
      <c r="AK305" s="10">
        <f t="shared" si="102"/>
        <v>1.0474351464945169</v>
      </c>
      <c r="AL305" s="10">
        <f t="shared" si="102"/>
        <v>1.0457010223047283</v>
      </c>
      <c r="AM305" s="10">
        <f t="shared" si="102"/>
        <v>1.0439668981149399</v>
      </c>
      <c r="AN305" s="10">
        <f t="shared" si="102"/>
        <v>1.0422327739251516</v>
      </c>
      <c r="AO305" s="10">
        <f t="shared" si="102"/>
        <v>1.040498649735363</v>
      </c>
      <c r="AP305" s="10">
        <f t="shared" si="102"/>
        <v>1.0387645255455746</v>
      </c>
      <c r="AQ305" s="10">
        <f t="shared" si="102"/>
        <v>1.0370304013557861</v>
      </c>
      <c r="AR305" s="10">
        <f t="shared" si="102"/>
        <v>1.0352962771659977</v>
      </c>
      <c r="AS305" s="10">
        <f t="shared" si="102"/>
        <v>1.0335621529762091</v>
      </c>
      <c r="AT305" s="10">
        <f t="shared" si="102"/>
        <v>1.0318280287864208</v>
      </c>
      <c r="AU305" s="10">
        <f t="shared" si="102"/>
        <v>1.0300939045966322</v>
      </c>
      <c r="AV305" s="10">
        <f t="shared" si="102"/>
        <v>1.0283597804068438</v>
      </c>
      <c r="AW305" s="10">
        <f t="shared" si="102"/>
        <v>1.0266256562170553</v>
      </c>
      <c r="AX305" s="10">
        <f t="shared" si="102"/>
        <v>1.0248915320272682</v>
      </c>
      <c r="AY305" s="10">
        <f t="shared" si="102"/>
        <v>1.0248915320272682</v>
      </c>
      <c r="AZ305" s="10">
        <f t="shared" si="102"/>
        <v>1.0248915320272682</v>
      </c>
      <c r="BA305" s="10">
        <f t="shared" si="102"/>
        <v>1.0248915320272682</v>
      </c>
      <c r="BB305" s="10">
        <f t="shared" si="102"/>
        <v>1.0248915320272682</v>
      </c>
      <c r="BC305" s="10">
        <f t="shared" si="102"/>
        <v>1.0248915320272682</v>
      </c>
      <c r="BD305" s="10">
        <f t="shared" si="102"/>
        <v>1.0248915320272682</v>
      </c>
      <c r="BE305" s="10">
        <f t="shared" si="102"/>
        <v>1.0248915320272682</v>
      </c>
      <c r="BF305" s="10">
        <f t="shared" si="102"/>
        <v>1.0248915320272682</v>
      </c>
      <c r="BG305" s="10">
        <f t="shared" si="102"/>
        <v>1.0248915320272682</v>
      </c>
      <c r="BH305" s="10">
        <f t="shared" si="102"/>
        <v>1.0248915320272682</v>
      </c>
      <c r="BI305" s="10">
        <f t="shared" si="102"/>
        <v>1.0248915320272682</v>
      </c>
    </row>
    <row r="306" spans="1:61">
      <c r="A306" s="8" t="str">
        <f t="shared" si="96"/>
        <v>Prędkość 61-70 km/h</v>
      </c>
      <c r="B306" s="129" t="s">
        <v>42</v>
      </c>
      <c r="C306" s="13"/>
      <c r="D306" s="13"/>
      <c r="E306" s="13"/>
      <c r="F306" s="13"/>
      <c r="G306" s="13"/>
      <c r="H306" s="13"/>
      <c r="I306" s="13"/>
      <c r="J306" s="13"/>
      <c r="K306" s="13"/>
      <c r="L306" s="13"/>
      <c r="M306" s="13"/>
      <c r="N306" s="13"/>
      <c r="O306" s="13"/>
      <c r="P306" s="13"/>
      <c r="Q306" s="93"/>
      <c r="R306" s="93"/>
      <c r="S306" s="93"/>
      <c r="T306" s="10">
        <f t="shared" ref="T306:BI306" si="103">($T179*$T$205*T$215)*U$50+T$286*U$53</f>
        <v>0.96896273137441802</v>
      </c>
      <c r="U306" s="10">
        <f t="shared" si="103"/>
        <v>1.0010932663328247</v>
      </c>
      <c r="V306" s="10">
        <f t="shared" si="103"/>
        <v>1.0512933009141507</v>
      </c>
      <c r="W306" s="10">
        <f t="shared" si="103"/>
        <v>1.0504375789125027</v>
      </c>
      <c r="X306" s="10">
        <f t="shared" si="103"/>
        <v>1.0495818569108546</v>
      </c>
      <c r="Y306" s="10">
        <f t="shared" si="103"/>
        <v>1.048726134909207</v>
      </c>
      <c r="Z306" s="10">
        <f t="shared" si="103"/>
        <v>1.0478704129075589</v>
      </c>
      <c r="AA306" s="10">
        <f t="shared" si="103"/>
        <v>1.047014690905911</v>
      </c>
      <c r="AB306" s="10">
        <f t="shared" si="103"/>
        <v>1.046158968904263</v>
      </c>
      <c r="AC306" s="10">
        <f t="shared" si="103"/>
        <v>1.0453032469026151</v>
      </c>
      <c r="AD306" s="10">
        <f t="shared" si="103"/>
        <v>1.0444475249009677</v>
      </c>
      <c r="AE306" s="10">
        <f t="shared" si="103"/>
        <v>1.0429209387916176</v>
      </c>
      <c r="AF306" s="10">
        <f t="shared" si="103"/>
        <v>1.0413943526822675</v>
      </c>
      <c r="AG306" s="10">
        <f t="shared" si="103"/>
        <v>1.0398677665729175</v>
      </c>
      <c r="AH306" s="10">
        <f t="shared" si="103"/>
        <v>1.0383411804635674</v>
      </c>
      <c r="AI306" s="10">
        <f t="shared" si="103"/>
        <v>1.0368145943542173</v>
      </c>
      <c r="AJ306" s="10">
        <f t="shared" si="103"/>
        <v>1.0352880082448672</v>
      </c>
      <c r="AK306" s="10">
        <f t="shared" si="103"/>
        <v>1.0337614221355169</v>
      </c>
      <c r="AL306" s="10">
        <f t="shared" si="103"/>
        <v>1.0322348360261668</v>
      </c>
      <c r="AM306" s="10">
        <f t="shared" si="103"/>
        <v>1.0307082499168168</v>
      </c>
      <c r="AN306" s="10">
        <f t="shared" si="103"/>
        <v>1.0291816638074667</v>
      </c>
      <c r="AO306" s="10">
        <f t="shared" si="103"/>
        <v>1.0276550776981166</v>
      </c>
      <c r="AP306" s="10">
        <f t="shared" si="103"/>
        <v>1.0261284915887665</v>
      </c>
      <c r="AQ306" s="10">
        <f t="shared" si="103"/>
        <v>1.0246019054794164</v>
      </c>
      <c r="AR306" s="10">
        <f t="shared" si="103"/>
        <v>1.0230753193700663</v>
      </c>
      <c r="AS306" s="10">
        <f t="shared" si="103"/>
        <v>1.0215487332607163</v>
      </c>
      <c r="AT306" s="10">
        <f t="shared" si="103"/>
        <v>1.0200221471513662</v>
      </c>
      <c r="AU306" s="10">
        <f t="shared" si="103"/>
        <v>1.0184955610420161</v>
      </c>
      <c r="AV306" s="10">
        <f t="shared" si="103"/>
        <v>1.016968974932666</v>
      </c>
      <c r="AW306" s="10">
        <f t="shared" si="103"/>
        <v>1.0154423888233159</v>
      </c>
      <c r="AX306" s="10">
        <f t="shared" si="103"/>
        <v>1.013915802713967</v>
      </c>
      <c r="AY306" s="10">
        <f t="shared" si="103"/>
        <v>1.013915802713967</v>
      </c>
      <c r="AZ306" s="10">
        <f t="shared" si="103"/>
        <v>1.013915802713967</v>
      </c>
      <c r="BA306" s="10">
        <f t="shared" si="103"/>
        <v>1.013915802713967</v>
      </c>
      <c r="BB306" s="10">
        <f t="shared" si="103"/>
        <v>1.013915802713967</v>
      </c>
      <c r="BC306" s="10">
        <f t="shared" si="103"/>
        <v>1.013915802713967</v>
      </c>
      <c r="BD306" s="10">
        <f t="shared" si="103"/>
        <v>1.013915802713967</v>
      </c>
      <c r="BE306" s="10">
        <f t="shared" si="103"/>
        <v>1.013915802713967</v>
      </c>
      <c r="BF306" s="10">
        <f t="shared" si="103"/>
        <v>1.013915802713967</v>
      </c>
      <c r="BG306" s="10">
        <f t="shared" si="103"/>
        <v>1.013915802713967</v>
      </c>
      <c r="BH306" s="10">
        <f t="shared" si="103"/>
        <v>1.013915802713967</v>
      </c>
      <c r="BI306" s="10">
        <f t="shared" si="103"/>
        <v>1.013915802713967</v>
      </c>
    </row>
    <row r="307" spans="1:61" s="613" customFormat="1">
      <c r="A307" s="8" t="str">
        <f t="shared" si="96"/>
        <v>Prędkość 71-80 km/h</v>
      </c>
      <c r="B307" s="129" t="s">
        <v>42</v>
      </c>
      <c r="C307" s="13"/>
      <c r="D307" s="13"/>
      <c r="E307" s="13"/>
      <c r="F307" s="13"/>
      <c r="G307" s="13"/>
      <c r="H307" s="13"/>
      <c r="I307" s="13"/>
      <c r="J307" s="13"/>
      <c r="K307" s="13"/>
      <c r="L307" s="13"/>
      <c r="M307" s="13"/>
      <c r="N307" s="13"/>
      <c r="O307" s="13"/>
      <c r="P307" s="13"/>
      <c r="Q307" s="93"/>
      <c r="R307" s="93"/>
      <c r="S307" s="93"/>
      <c r="T307" s="10">
        <f t="shared" ref="T307:BI307" si="104">($T180*$T$205*T$215)*U$50+T$286*U$53</f>
        <v>0.96086823805271104</v>
      </c>
      <c r="U307" s="10">
        <f t="shared" si="104"/>
        <v>0.99278333290576659</v>
      </c>
      <c r="V307" s="10">
        <f t="shared" si="104"/>
        <v>1.0426223819559464</v>
      </c>
      <c r="W307" s="10">
        <f t="shared" si="104"/>
        <v>1.0418294810279318</v>
      </c>
      <c r="X307" s="10">
        <f t="shared" si="104"/>
        <v>1.0410365800999175</v>
      </c>
      <c r="Y307" s="10">
        <f t="shared" si="104"/>
        <v>1.0402436791719034</v>
      </c>
      <c r="Z307" s="10">
        <f t="shared" si="104"/>
        <v>1.0394507782438891</v>
      </c>
      <c r="AA307" s="10">
        <f t="shared" si="104"/>
        <v>1.0386578773158748</v>
      </c>
      <c r="AB307" s="10">
        <f t="shared" si="104"/>
        <v>1.0378649763878605</v>
      </c>
      <c r="AC307" s="10">
        <f t="shared" si="104"/>
        <v>1.0370720754598461</v>
      </c>
      <c r="AD307" s="10">
        <f t="shared" si="104"/>
        <v>1.0362791745318325</v>
      </c>
      <c r="AE307" s="10">
        <f t="shared" si="104"/>
        <v>1.0348646596070481</v>
      </c>
      <c r="AF307" s="10">
        <f t="shared" si="104"/>
        <v>1.0334501446822637</v>
      </c>
      <c r="AG307" s="10">
        <f t="shared" si="104"/>
        <v>1.0320356297574793</v>
      </c>
      <c r="AH307" s="10">
        <f t="shared" si="104"/>
        <v>1.0306211148326949</v>
      </c>
      <c r="AI307" s="10">
        <f t="shared" si="104"/>
        <v>1.0292065999079105</v>
      </c>
      <c r="AJ307" s="10">
        <f t="shared" si="104"/>
        <v>1.0277920849831261</v>
      </c>
      <c r="AK307" s="10">
        <f t="shared" si="104"/>
        <v>1.0263775700583415</v>
      </c>
      <c r="AL307" s="10">
        <f t="shared" si="104"/>
        <v>1.0249630551335571</v>
      </c>
      <c r="AM307" s="10">
        <f t="shared" si="104"/>
        <v>1.0235485402087727</v>
      </c>
      <c r="AN307" s="10">
        <f t="shared" si="104"/>
        <v>1.0221340252839883</v>
      </c>
      <c r="AO307" s="10">
        <f t="shared" si="104"/>
        <v>1.0207195103592039</v>
      </c>
      <c r="AP307" s="10">
        <f t="shared" si="104"/>
        <v>1.0193049954344195</v>
      </c>
      <c r="AQ307" s="10">
        <f t="shared" si="104"/>
        <v>1.0178904805096352</v>
      </c>
      <c r="AR307" s="10">
        <f t="shared" si="104"/>
        <v>1.0164759655848508</v>
      </c>
      <c r="AS307" s="10">
        <f t="shared" si="104"/>
        <v>1.0150614506600664</v>
      </c>
      <c r="AT307" s="10">
        <f t="shared" si="104"/>
        <v>1.0136469357352818</v>
      </c>
      <c r="AU307" s="10">
        <f t="shared" si="104"/>
        <v>1.0122324208104976</v>
      </c>
      <c r="AV307" s="10">
        <f t="shared" si="104"/>
        <v>1.010817905885713</v>
      </c>
      <c r="AW307" s="10">
        <f t="shared" si="104"/>
        <v>1.0094033909609286</v>
      </c>
      <c r="AX307" s="10">
        <f t="shared" si="104"/>
        <v>1.0079888760361455</v>
      </c>
      <c r="AY307" s="10">
        <f t="shared" si="104"/>
        <v>1.0079888760361455</v>
      </c>
      <c r="AZ307" s="10">
        <f t="shared" si="104"/>
        <v>1.0079888760361455</v>
      </c>
      <c r="BA307" s="10">
        <f t="shared" si="104"/>
        <v>1.0079888760361455</v>
      </c>
      <c r="BB307" s="10">
        <f t="shared" si="104"/>
        <v>1.0079888760361455</v>
      </c>
      <c r="BC307" s="10">
        <f t="shared" si="104"/>
        <v>1.0079888760361455</v>
      </c>
      <c r="BD307" s="10">
        <f t="shared" si="104"/>
        <v>1.0079888760361455</v>
      </c>
      <c r="BE307" s="10">
        <f t="shared" si="104"/>
        <v>1.0079888760361455</v>
      </c>
      <c r="BF307" s="10">
        <f t="shared" si="104"/>
        <v>1.0079888760361455</v>
      </c>
      <c r="BG307" s="10">
        <f t="shared" si="104"/>
        <v>1.0079888760361455</v>
      </c>
      <c r="BH307" s="10">
        <f t="shared" si="104"/>
        <v>1.0079888760361455</v>
      </c>
      <c r="BI307" s="10">
        <f t="shared" si="104"/>
        <v>1.0079888760361455</v>
      </c>
    </row>
    <row r="308" spans="1:61" s="613" customFormat="1">
      <c r="A308" s="8" t="str">
        <f t="shared" si="96"/>
        <v>Prędkość 81-90 km/h</v>
      </c>
      <c r="B308" s="129" t="s">
        <v>42</v>
      </c>
      <c r="C308" s="13"/>
      <c r="D308" s="13"/>
      <c r="E308" s="13"/>
      <c r="F308" s="13"/>
      <c r="G308" s="13"/>
      <c r="H308" s="13"/>
      <c r="I308" s="13"/>
      <c r="J308" s="13"/>
      <c r="K308" s="13"/>
      <c r="L308" s="13"/>
      <c r="M308" s="13"/>
      <c r="N308" s="13"/>
      <c r="O308" s="13"/>
      <c r="P308" s="13"/>
      <c r="Q308" s="93"/>
      <c r="R308" s="93"/>
      <c r="S308" s="93"/>
      <c r="T308" s="10">
        <f t="shared" ref="T308:BI308" si="105">($T181*$T$205*T$215)*U$50+T$286*U$53</f>
        <v>0.95855916370352956</v>
      </c>
      <c r="U308" s="10">
        <f t="shared" si="105"/>
        <v>0.99041280106921914</v>
      </c>
      <c r="V308" s="10">
        <f t="shared" si="105"/>
        <v>1.0401488736393072</v>
      </c>
      <c r="W308" s="10">
        <f t="shared" si="105"/>
        <v>1.0393738933548651</v>
      </c>
      <c r="X308" s="10">
        <f t="shared" si="105"/>
        <v>1.0385989130704227</v>
      </c>
      <c r="Y308" s="10">
        <f t="shared" si="105"/>
        <v>1.0378239327859808</v>
      </c>
      <c r="Z308" s="10">
        <f t="shared" si="105"/>
        <v>1.0370489525015387</v>
      </c>
      <c r="AA308" s="10">
        <f t="shared" si="105"/>
        <v>1.0362739722170964</v>
      </c>
      <c r="AB308" s="10">
        <f t="shared" si="105"/>
        <v>1.0354989919326545</v>
      </c>
      <c r="AC308" s="10">
        <f t="shared" si="105"/>
        <v>1.0347240116482121</v>
      </c>
      <c r="AD308" s="10">
        <f t="shared" si="105"/>
        <v>1.0339490313637707</v>
      </c>
      <c r="AE308" s="10">
        <f t="shared" si="105"/>
        <v>1.0325664864076154</v>
      </c>
      <c r="AF308" s="10">
        <f t="shared" si="105"/>
        <v>1.0311839414514599</v>
      </c>
      <c r="AG308" s="10">
        <f t="shared" si="105"/>
        <v>1.0298013964953046</v>
      </c>
      <c r="AH308" s="10">
        <f t="shared" si="105"/>
        <v>1.0284188515391492</v>
      </c>
      <c r="AI308" s="10">
        <f t="shared" si="105"/>
        <v>1.0270363065829939</v>
      </c>
      <c r="AJ308" s="10">
        <f t="shared" si="105"/>
        <v>1.0256537616268386</v>
      </c>
      <c r="AK308" s="10">
        <f t="shared" si="105"/>
        <v>1.0242712166706831</v>
      </c>
      <c r="AL308" s="10">
        <f t="shared" si="105"/>
        <v>1.0228886717145278</v>
      </c>
      <c r="AM308" s="10">
        <f t="shared" si="105"/>
        <v>1.0215061267583725</v>
      </c>
      <c r="AN308" s="10">
        <f t="shared" si="105"/>
        <v>1.020123581802217</v>
      </c>
      <c r="AO308" s="10">
        <f t="shared" si="105"/>
        <v>1.0187410368460617</v>
      </c>
      <c r="AP308" s="10">
        <f t="shared" si="105"/>
        <v>1.0173584918899063</v>
      </c>
      <c r="AQ308" s="10">
        <f t="shared" si="105"/>
        <v>1.0159759469337508</v>
      </c>
      <c r="AR308" s="10">
        <f t="shared" si="105"/>
        <v>1.0145934019775955</v>
      </c>
      <c r="AS308" s="10">
        <f t="shared" si="105"/>
        <v>1.0132108570214402</v>
      </c>
      <c r="AT308" s="10">
        <f t="shared" si="105"/>
        <v>1.0118283120652847</v>
      </c>
      <c r="AU308" s="10">
        <f t="shared" si="105"/>
        <v>1.0104457671091294</v>
      </c>
      <c r="AV308" s="10">
        <f t="shared" si="105"/>
        <v>1.0090632221529741</v>
      </c>
      <c r="AW308" s="10">
        <f t="shared" si="105"/>
        <v>1.0076806771968188</v>
      </c>
      <c r="AX308" s="10">
        <f t="shared" si="105"/>
        <v>1.0062981322406646</v>
      </c>
      <c r="AY308" s="10">
        <f t="shared" si="105"/>
        <v>1.0062981322406646</v>
      </c>
      <c r="AZ308" s="10">
        <f t="shared" si="105"/>
        <v>1.0062981322406646</v>
      </c>
      <c r="BA308" s="10">
        <f t="shared" si="105"/>
        <v>1.0062981322406646</v>
      </c>
      <c r="BB308" s="10">
        <f t="shared" si="105"/>
        <v>1.0062981322406646</v>
      </c>
      <c r="BC308" s="10">
        <f t="shared" si="105"/>
        <v>1.0062981322406646</v>
      </c>
      <c r="BD308" s="10">
        <f t="shared" si="105"/>
        <v>1.0062981322406646</v>
      </c>
      <c r="BE308" s="10">
        <f t="shared" si="105"/>
        <v>1.0062981322406646</v>
      </c>
      <c r="BF308" s="10">
        <f t="shared" si="105"/>
        <v>1.0062981322406646</v>
      </c>
      <c r="BG308" s="10">
        <f t="shared" si="105"/>
        <v>1.0062981322406646</v>
      </c>
      <c r="BH308" s="10">
        <f t="shared" si="105"/>
        <v>1.0062981322406646</v>
      </c>
      <c r="BI308" s="10">
        <f t="shared" si="105"/>
        <v>1.0062981322406646</v>
      </c>
    </row>
    <row r="309" spans="1:61" s="613" customFormat="1">
      <c r="A309" s="8" t="str">
        <f t="shared" si="96"/>
        <v>Prędkość 91-100 km/h</v>
      </c>
      <c r="B309" s="129" t="s">
        <v>42</v>
      </c>
      <c r="C309" s="13"/>
      <c r="D309" s="13"/>
      <c r="E309" s="13"/>
      <c r="F309" s="13"/>
      <c r="G309" s="13"/>
      <c r="H309" s="13"/>
      <c r="I309" s="13"/>
      <c r="J309" s="13"/>
      <c r="K309" s="13"/>
      <c r="L309" s="13"/>
      <c r="M309" s="13"/>
      <c r="N309" s="13"/>
      <c r="O309" s="13"/>
      <c r="P309" s="13"/>
      <c r="Q309" s="93"/>
      <c r="R309" s="93"/>
      <c r="S309" s="93"/>
      <c r="T309" s="10">
        <f t="shared" ref="T309:BI309" si="106">($T182*$T$205*T$215)*U$50+T$286*U$53</f>
        <v>0.96128320948762758</v>
      </c>
      <c r="U309" s="10">
        <f t="shared" si="106"/>
        <v>0.99320934907024216</v>
      </c>
      <c r="V309" s="10">
        <f t="shared" si="106"/>
        <v>1.0430669043663214</v>
      </c>
      <c r="W309" s="10">
        <f t="shared" si="106"/>
        <v>1.0422707828598183</v>
      </c>
      <c r="X309" s="10">
        <f t="shared" si="106"/>
        <v>1.0414746613533152</v>
      </c>
      <c r="Y309" s="10">
        <f t="shared" si="106"/>
        <v>1.0406785398468126</v>
      </c>
      <c r="Z309" s="10">
        <f t="shared" si="106"/>
        <v>1.0398824183403095</v>
      </c>
      <c r="AA309" s="10">
        <f t="shared" si="106"/>
        <v>1.0390862968338064</v>
      </c>
      <c r="AB309" s="10">
        <f t="shared" si="106"/>
        <v>1.0382901753273035</v>
      </c>
      <c r="AC309" s="10">
        <f t="shared" si="106"/>
        <v>1.0374940538208004</v>
      </c>
      <c r="AD309" s="10">
        <f t="shared" si="106"/>
        <v>1.0366979323142982</v>
      </c>
      <c r="AE309" s="10">
        <f t="shared" si="106"/>
        <v>1.0352776719600689</v>
      </c>
      <c r="AF309" s="10">
        <f t="shared" si="106"/>
        <v>1.0338574116058394</v>
      </c>
      <c r="AG309" s="10">
        <f t="shared" si="106"/>
        <v>1.0324371512516102</v>
      </c>
      <c r="AH309" s="10">
        <f t="shared" si="106"/>
        <v>1.0310168908973809</v>
      </c>
      <c r="AI309" s="10">
        <f t="shared" si="106"/>
        <v>1.0295966305431516</v>
      </c>
      <c r="AJ309" s="10">
        <f t="shared" si="106"/>
        <v>1.0281763701889224</v>
      </c>
      <c r="AK309" s="10">
        <f t="shared" si="106"/>
        <v>1.0267561098346931</v>
      </c>
      <c r="AL309" s="10">
        <f t="shared" si="106"/>
        <v>1.0253358494804636</v>
      </c>
      <c r="AM309" s="10">
        <f t="shared" si="106"/>
        <v>1.0239155891262344</v>
      </c>
      <c r="AN309" s="10">
        <f t="shared" si="106"/>
        <v>1.0224953287720051</v>
      </c>
      <c r="AO309" s="10">
        <f t="shared" si="106"/>
        <v>1.0210750684177758</v>
      </c>
      <c r="AP309" s="10">
        <f t="shared" si="106"/>
        <v>1.0196548080635464</v>
      </c>
      <c r="AQ309" s="10">
        <f t="shared" si="106"/>
        <v>1.0182345477093171</v>
      </c>
      <c r="AR309" s="10">
        <f t="shared" si="106"/>
        <v>1.0168142873550878</v>
      </c>
      <c r="AS309" s="10">
        <f t="shared" si="106"/>
        <v>1.0153940270008586</v>
      </c>
      <c r="AT309" s="10">
        <f t="shared" si="106"/>
        <v>1.0139737666466293</v>
      </c>
      <c r="AU309" s="10">
        <f t="shared" si="106"/>
        <v>1.0125535062924</v>
      </c>
      <c r="AV309" s="10">
        <f t="shared" si="106"/>
        <v>1.0111332459381706</v>
      </c>
      <c r="AW309" s="10">
        <f t="shared" si="106"/>
        <v>1.0097129855839413</v>
      </c>
      <c r="AX309" s="10">
        <f t="shared" si="106"/>
        <v>1.0082927252297131</v>
      </c>
      <c r="AY309" s="10">
        <f t="shared" si="106"/>
        <v>1.0082927252297131</v>
      </c>
      <c r="AZ309" s="10">
        <f t="shared" si="106"/>
        <v>1.0082927252297131</v>
      </c>
      <c r="BA309" s="10">
        <f t="shared" si="106"/>
        <v>1.0082927252297131</v>
      </c>
      <c r="BB309" s="10">
        <f t="shared" si="106"/>
        <v>1.0082927252297131</v>
      </c>
      <c r="BC309" s="10">
        <f t="shared" si="106"/>
        <v>1.0082927252297131</v>
      </c>
      <c r="BD309" s="10">
        <f t="shared" si="106"/>
        <v>1.0082927252297131</v>
      </c>
      <c r="BE309" s="10">
        <f t="shared" si="106"/>
        <v>1.0082927252297131</v>
      </c>
      <c r="BF309" s="10">
        <f t="shared" si="106"/>
        <v>1.0082927252297131</v>
      </c>
      <c r="BG309" s="10">
        <f t="shared" si="106"/>
        <v>1.0082927252297131</v>
      </c>
      <c r="BH309" s="10">
        <f t="shared" si="106"/>
        <v>1.0082927252297131</v>
      </c>
      <c r="BI309" s="10">
        <f t="shared" si="106"/>
        <v>1.0082927252297131</v>
      </c>
    </row>
    <row r="310" spans="1:61" s="613" customFormat="1">
      <c r="A310" s="8" t="str">
        <f t="shared" si="96"/>
        <v>Prędkość 101-110 km/h</v>
      </c>
      <c r="B310" s="129" t="s">
        <v>42</v>
      </c>
      <c r="C310" s="13"/>
      <c r="D310" s="13"/>
      <c r="E310" s="13"/>
      <c r="F310" s="13"/>
      <c r="G310" s="13"/>
      <c r="H310" s="13"/>
      <c r="I310" s="13"/>
      <c r="J310" s="13"/>
      <c r="K310" s="13"/>
      <c r="L310" s="13"/>
      <c r="M310" s="13"/>
      <c r="N310" s="13"/>
      <c r="O310" s="13"/>
      <c r="P310" s="13"/>
      <c r="Q310" s="93"/>
      <c r="R310" s="93"/>
      <c r="S310" s="93"/>
      <c r="T310" s="10">
        <f t="shared" ref="T310:BI310" si="107">($T183*$T$205*T$215)*U$50+T$286*U$53</f>
        <v>0.96850133454451381</v>
      </c>
      <c r="U310" s="10">
        <f t="shared" si="107"/>
        <v>1.000619589131847</v>
      </c>
      <c r="V310" s="10">
        <f t="shared" si="107"/>
        <v>1.0507990470602446</v>
      </c>
      <c r="W310" s="10">
        <f t="shared" si="107"/>
        <v>1.0499469059429181</v>
      </c>
      <c r="X310" s="10">
        <f t="shared" si="107"/>
        <v>1.0490947648255915</v>
      </c>
      <c r="Y310" s="10">
        <f t="shared" si="107"/>
        <v>1.0482426237082652</v>
      </c>
      <c r="Z310" s="10">
        <f t="shared" si="107"/>
        <v>1.0473904825909386</v>
      </c>
      <c r="AA310" s="10">
        <f t="shared" si="107"/>
        <v>1.046538341473612</v>
      </c>
      <c r="AB310" s="10">
        <f t="shared" si="107"/>
        <v>1.0456862003562857</v>
      </c>
      <c r="AC310" s="10">
        <f t="shared" si="107"/>
        <v>1.0448340592389591</v>
      </c>
      <c r="AD310" s="10">
        <f t="shared" si="107"/>
        <v>1.0439819181216332</v>
      </c>
      <c r="AE310" s="10">
        <f t="shared" si="107"/>
        <v>1.042461720218095</v>
      </c>
      <c r="AF310" s="10">
        <f t="shared" si="107"/>
        <v>1.0409415223145568</v>
      </c>
      <c r="AG310" s="10">
        <f t="shared" si="107"/>
        <v>1.0394213244110186</v>
      </c>
      <c r="AH310" s="10">
        <f t="shared" si="107"/>
        <v>1.0379011265074805</v>
      </c>
      <c r="AI310" s="10">
        <f t="shared" si="107"/>
        <v>1.0363809286039423</v>
      </c>
      <c r="AJ310" s="10">
        <f t="shared" si="107"/>
        <v>1.0348607307004041</v>
      </c>
      <c r="AK310" s="10">
        <f t="shared" si="107"/>
        <v>1.0333405327968659</v>
      </c>
      <c r="AL310" s="10">
        <f t="shared" si="107"/>
        <v>1.0318203348933277</v>
      </c>
      <c r="AM310" s="10">
        <f t="shared" si="107"/>
        <v>1.0303001369897895</v>
      </c>
      <c r="AN310" s="10">
        <f t="shared" si="107"/>
        <v>1.0287799390862513</v>
      </c>
      <c r="AO310" s="10">
        <f t="shared" si="107"/>
        <v>1.0272597411827131</v>
      </c>
      <c r="AP310" s="10">
        <f t="shared" si="107"/>
        <v>1.0257395432791749</v>
      </c>
      <c r="AQ310" s="10">
        <f t="shared" si="107"/>
        <v>1.0242193453756367</v>
      </c>
      <c r="AR310" s="10">
        <f t="shared" si="107"/>
        <v>1.0226991474720986</v>
      </c>
      <c r="AS310" s="10">
        <f t="shared" si="107"/>
        <v>1.0211789495685604</v>
      </c>
      <c r="AT310" s="10">
        <f t="shared" si="107"/>
        <v>1.0196587516650222</v>
      </c>
      <c r="AU310" s="10">
        <f t="shared" si="107"/>
        <v>1.018138553761484</v>
      </c>
      <c r="AV310" s="10">
        <f t="shared" si="107"/>
        <v>1.0166183558579458</v>
      </c>
      <c r="AW310" s="10">
        <f t="shared" si="107"/>
        <v>1.0150981579544076</v>
      </c>
      <c r="AX310" s="10">
        <f t="shared" si="107"/>
        <v>1.0135779600508705</v>
      </c>
      <c r="AY310" s="10">
        <f t="shared" si="107"/>
        <v>1.0135779600508705</v>
      </c>
      <c r="AZ310" s="10">
        <f t="shared" si="107"/>
        <v>1.0135779600508705</v>
      </c>
      <c r="BA310" s="10">
        <f t="shared" si="107"/>
        <v>1.0135779600508705</v>
      </c>
      <c r="BB310" s="10">
        <f t="shared" si="107"/>
        <v>1.0135779600508705</v>
      </c>
      <c r="BC310" s="10">
        <f t="shared" si="107"/>
        <v>1.0135779600508705</v>
      </c>
      <c r="BD310" s="10">
        <f t="shared" si="107"/>
        <v>1.0135779600508705</v>
      </c>
      <c r="BE310" s="10">
        <f t="shared" si="107"/>
        <v>1.0135779600508705</v>
      </c>
      <c r="BF310" s="10">
        <f t="shared" si="107"/>
        <v>1.0135779600508705</v>
      </c>
      <c r="BG310" s="10">
        <f t="shared" si="107"/>
        <v>1.0135779600508705</v>
      </c>
      <c r="BH310" s="10">
        <f t="shared" si="107"/>
        <v>1.0135779600508705</v>
      </c>
      <c r="BI310" s="10">
        <f t="shared" si="107"/>
        <v>1.0135779600508705</v>
      </c>
    </row>
    <row r="311" spans="1:61" s="613" customFormat="1">
      <c r="A311" s="8" t="str">
        <f t="shared" si="96"/>
        <v>Prędkość 111-120 km/h</v>
      </c>
      <c r="B311" s="129" t="s">
        <v>42</v>
      </c>
      <c r="C311" s="13"/>
      <c r="D311" s="13"/>
      <c r="E311" s="13"/>
      <c r="F311" s="13"/>
      <c r="G311" s="13"/>
      <c r="H311" s="13"/>
      <c r="I311" s="13"/>
      <c r="J311" s="13"/>
      <c r="K311" s="13"/>
      <c r="L311" s="13"/>
      <c r="M311" s="13"/>
      <c r="N311" s="13"/>
      <c r="O311" s="13"/>
      <c r="P311" s="13"/>
      <c r="Q311" s="93"/>
      <c r="R311" s="93"/>
      <c r="S311" s="93"/>
      <c r="T311" s="10">
        <f t="shared" ref="T311:BI311" si="108">($T184*$T$205*T$215)*U$50+T$286*U$53</f>
        <v>0.97981029308481604</v>
      </c>
      <c r="U311" s="10">
        <f t="shared" si="108"/>
        <v>1.0122295428206414</v>
      </c>
      <c r="V311" s="10">
        <f t="shared" si="108"/>
        <v>1.0629133399637536</v>
      </c>
      <c r="W311" s="10">
        <f t="shared" si="108"/>
        <v>1.0619734304230133</v>
      </c>
      <c r="X311" s="10">
        <f t="shared" si="108"/>
        <v>1.0610335208822728</v>
      </c>
      <c r="Y311" s="10">
        <f t="shared" si="108"/>
        <v>1.0600936113415325</v>
      </c>
      <c r="Z311" s="10">
        <f t="shared" si="108"/>
        <v>1.0591537018007922</v>
      </c>
      <c r="AA311" s="10">
        <f t="shared" si="108"/>
        <v>1.0582137922600516</v>
      </c>
      <c r="AB311" s="10">
        <f t="shared" si="108"/>
        <v>1.0572738827193113</v>
      </c>
      <c r="AC311" s="10">
        <f t="shared" si="108"/>
        <v>1.056333973178571</v>
      </c>
      <c r="AD311" s="10">
        <f t="shared" si="108"/>
        <v>1.0553940636378312</v>
      </c>
      <c r="AE311" s="10">
        <f t="shared" si="108"/>
        <v>1.0537172891173952</v>
      </c>
      <c r="AF311" s="10">
        <f t="shared" si="108"/>
        <v>1.0520405145969589</v>
      </c>
      <c r="AG311" s="10">
        <f t="shared" si="108"/>
        <v>1.0503637400765229</v>
      </c>
      <c r="AH311" s="10">
        <f t="shared" si="108"/>
        <v>1.0486869655560866</v>
      </c>
      <c r="AI311" s="10">
        <f t="shared" si="108"/>
        <v>1.0470101910356506</v>
      </c>
      <c r="AJ311" s="10">
        <f t="shared" si="108"/>
        <v>1.0453334165152146</v>
      </c>
      <c r="AK311" s="10">
        <f t="shared" si="108"/>
        <v>1.0436566419947784</v>
      </c>
      <c r="AL311" s="10">
        <f t="shared" si="108"/>
        <v>1.0419798674743421</v>
      </c>
      <c r="AM311" s="10">
        <f t="shared" si="108"/>
        <v>1.0403030929539061</v>
      </c>
      <c r="AN311" s="10">
        <f t="shared" si="108"/>
        <v>1.0386263184334699</v>
      </c>
      <c r="AO311" s="10">
        <f t="shared" si="108"/>
        <v>1.0369495439130338</v>
      </c>
      <c r="AP311" s="10">
        <f t="shared" si="108"/>
        <v>1.0352727693925976</v>
      </c>
      <c r="AQ311" s="10">
        <f t="shared" si="108"/>
        <v>1.0335959948721616</v>
      </c>
      <c r="AR311" s="10">
        <f t="shared" si="108"/>
        <v>1.0319192203517253</v>
      </c>
      <c r="AS311" s="10">
        <f t="shared" si="108"/>
        <v>1.0302424458312893</v>
      </c>
      <c r="AT311" s="10">
        <f t="shared" si="108"/>
        <v>1.0285656713108531</v>
      </c>
      <c r="AU311" s="10">
        <f t="shared" si="108"/>
        <v>1.0268888967904171</v>
      </c>
      <c r="AV311" s="10">
        <f t="shared" si="108"/>
        <v>1.0252121222699808</v>
      </c>
      <c r="AW311" s="10">
        <f t="shared" si="108"/>
        <v>1.0235353477495448</v>
      </c>
      <c r="AX311" s="10">
        <f t="shared" si="108"/>
        <v>1.0218585732291099</v>
      </c>
      <c r="AY311" s="10">
        <f t="shared" si="108"/>
        <v>1.0218585732291099</v>
      </c>
      <c r="AZ311" s="10">
        <f t="shared" si="108"/>
        <v>1.0218585732291099</v>
      </c>
      <c r="BA311" s="10">
        <f t="shared" si="108"/>
        <v>1.0218585732291099</v>
      </c>
      <c r="BB311" s="10">
        <f t="shared" si="108"/>
        <v>1.0218585732291099</v>
      </c>
      <c r="BC311" s="10">
        <f t="shared" si="108"/>
        <v>1.0218585732291099</v>
      </c>
      <c r="BD311" s="10">
        <f t="shared" si="108"/>
        <v>1.0218585732291099</v>
      </c>
      <c r="BE311" s="10">
        <f t="shared" si="108"/>
        <v>1.0218585732291099</v>
      </c>
      <c r="BF311" s="10">
        <f t="shared" si="108"/>
        <v>1.0218585732291099</v>
      </c>
      <c r="BG311" s="10">
        <f t="shared" si="108"/>
        <v>1.0218585732291099</v>
      </c>
      <c r="BH311" s="10">
        <f t="shared" si="108"/>
        <v>1.0218585732291099</v>
      </c>
      <c r="BI311" s="10">
        <f t="shared" si="108"/>
        <v>1.0218585732291099</v>
      </c>
    </row>
    <row r="312" spans="1:61" s="613" customFormat="1">
      <c r="A312" s="8" t="str">
        <f t="shared" si="96"/>
        <v>Prędkość 121-130 km/h</v>
      </c>
      <c r="B312" s="129" t="s">
        <v>42</v>
      </c>
      <c r="C312" s="13"/>
      <c r="D312" s="13"/>
      <c r="E312" s="13"/>
      <c r="F312" s="13"/>
      <c r="G312" s="13"/>
      <c r="H312" s="13"/>
      <c r="I312" s="13"/>
      <c r="J312" s="13"/>
      <c r="K312" s="13"/>
      <c r="L312" s="13"/>
      <c r="M312" s="13"/>
      <c r="N312" s="13"/>
      <c r="O312" s="13"/>
      <c r="P312" s="13"/>
      <c r="Q312" s="93"/>
      <c r="R312" s="93"/>
      <c r="S312" s="93"/>
      <c r="T312" s="10">
        <f t="shared" ref="T312:BI312" si="109">($T185*$T$205*T$215)*U$50+T$286*U$53</f>
        <v>0.99489786926169399</v>
      </c>
      <c r="U312" s="10">
        <f t="shared" si="109"/>
        <v>1.0277186844657773</v>
      </c>
      <c r="V312" s="10">
        <f t="shared" si="109"/>
        <v>1.079075333692826</v>
      </c>
      <c r="W312" s="10">
        <f t="shared" si="109"/>
        <v>1.0780183300121202</v>
      </c>
      <c r="X312" s="10">
        <f t="shared" si="109"/>
        <v>1.0769613263314144</v>
      </c>
      <c r="Y312" s="10">
        <f t="shared" si="109"/>
        <v>1.0759043226507086</v>
      </c>
      <c r="Z312" s="10">
        <f t="shared" si="109"/>
        <v>1.0748473189700027</v>
      </c>
      <c r="AA312" s="10">
        <f t="shared" si="109"/>
        <v>1.0737903152892969</v>
      </c>
      <c r="AB312" s="10">
        <f t="shared" si="109"/>
        <v>1.0727333116085913</v>
      </c>
      <c r="AC312" s="10">
        <f t="shared" si="109"/>
        <v>1.0716763079278855</v>
      </c>
      <c r="AD312" s="10">
        <f t="shared" si="109"/>
        <v>1.0706193042471803</v>
      </c>
      <c r="AE312" s="10">
        <f t="shared" si="109"/>
        <v>1.0687336367834597</v>
      </c>
      <c r="AF312" s="10">
        <f t="shared" si="109"/>
        <v>1.066847969319739</v>
      </c>
      <c r="AG312" s="10">
        <f t="shared" si="109"/>
        <v>1.0649623018560186</v>
      </c>
      <c r="AH312" s="10">
        <f t="shared" si="109"/>
        <v>1.0630766343922979</v>
      </c>
      <c r="AI312" s="10">
        <f t="shared" si="109"/>
        <v>1.0611909669285773</v>
      </c>
      <c r="AJ312" s="10">
        <f t="shared" si="109"/>
        <v>1.0593052994648569</v>
      </c>
      <c r="AK312" s="10">
        <f t="shared" si="109"/>
        <v>1.0574196320011362</v>
      </c>
      <c r="AL312" s="10">
        <f t="shared" si="109"/>
        <v>1.0555339645374155</v>
      </c>
      <c r="AM312" s="10">
        <f t="shared" si="109"/>
        <v>1.0536482970736949</v>
      </c>
      <c r="AN312" s="10">
        <f t="shared" si="109"/>
        <v>1.0517626296099745</v>
      </c>
      <c r="AO312" s="10">
        <f t="shared" si="109"/>
        <v>1.0498769621462538</v>
      </c>
      <c r="AP312" s="10">
        <f t="shared" si="109"/>
        <v>1.0479912946825332</v>
      </c>
      <c r="AQ312" s="10">
        <f t="shared" si="109"/>
        <v>1.0461056272188127</v>
      </c>
      <c r="AR312" s="10">
        <f t="shared" si="109"/>
        <v>1.0442199597550921</v>
      </c>
      <c r="AS312" s="10">
        <f t="shared" si="109"/>
        <v>1.0423342922913714</v>
      </c>
      <c r="AT312" s="10">
        <f t="shared" si="109"/>
        <v>1.040448624827651</v>
      </c>
      <c r="AU312" s="10">
        <f t="shared" si="109"/>
        <v>1.0385629573639303</v>
      </c>
      <c r="AV312" s="10">
        <f t="shared" si="109"/>
        <v>1.0366772899002097</v>
      </c>
      <c r="AW312" s="10">
        <f t="shared" si="109"/>
        <v>1.034791622436489</v>
      </c>
      <c r="AX312" s="10">
        <f t="shared" si="109"/>
        <v>1.0329059549727697</v>
      </c>
      <c r="AY312" s="10">
        <f t="shared" si="109"/>
        <v>1.0329059549727697</v>
      </c>
      <c r="AZ312" s="10">
        <f t="shared" si="109"/>
        <v>1.0329059549727697</v>
      </c>
      <c r="BA312" s="10">
        <f t="shared" si="109"/>
        <v>1.0329059549727697</v>
      </c>
      <c r="BB312" s="10">
        <f t="shared" si="109"/>
        <v>1.0329059549727697</v>
      </c>
      <c r="BC312" s="10">
        <f t="shared" si="109"/>
        <v>1.0329059549727697</v>
      </c>
      <c r="BD312" s="10">
        <f t="shared" si="109"/>
        <v>1.0329059549727697</v>
      </c>
      <c r="BE312" s="10">
        <f t="shared" si="109"/>
        <v>1.0329059549727697</v>
      </c>
      <c r="BF312" s="10">
        <f t="shared" si="109"/>
        <v>1.0329059549727697</v>
      </c>
      <c r="BG312" s="10">
        <f t="shared" si="109"/>
        <v>1.0329059549727697</v>
      </c>
      <c r="BH312" s="10">
        <f t="shared" si="109"/>
        <v>1.0329059549727697</v>
      </c>
      <c r="BI312" s="10">
        <f t="shared" si="109"/>
        <v>1.0329059549727697</v>
      </c>
    </row>
    <row r="313" spans="1:61" s="613" customFormat="1">
      <c r="A313" s="8" t="str">
        <f t="shared" si="96"/>
        <v>Prędkość 131-140 km/h</v>
      </c>
      <c r="B313" s="129" t="s">
        <v>42</v>
      </c>
      <c r="C313" s="13"/>
      <c r="D313" s="13"/>
      <c r="E313" s="13"/>
      <c r="F313" s="13"/>
      <c r="G313" s="13"/>
      <c r="H313" s="13"/>
      <c r="I313" s="13"/>
      <c r="J313" s="13"/>
      <c r="K313" s="13"/>
      <c r="L313" s="13"/>
      <c r="M313" s="13"/>
      <c r="N313" s="13"/>
      <c r="O313" s="13"/>
      <c r="P313" s="13"/>
      <c r="Q313" s="93"/>
      <c r="R313" s="93"/>
      <c r="S313" s="93"/>
      <c r="T313" s="10">
        <f t="shared" ref="T313:BI313" si="110">($T186*$T$205*T$215)*U$50+T$286*U$53</f>
        <v>1.013515457661154</v>
      </c>
      <c r="U313" s="10">
        <f t="shared" si="110"/>
        <v>1.0468317918615173</v>
      </c>
      <c r="V313" s="10">
        <f t="shared" si="110"/>
        <v>1.0990187191269729</v>
      </c>
      <c r="W313" s="10">
        <f t="shared" si="110"/>
        <v>1.0978172250074909</v>
      </c>
      <c r="X313" s="10">
        <f t="shared" si="110"/>
        <v>1.0966157308880089</v>
      </c>
      <c r="Y313" s="10">
        <f t="shared" si="110"/>
        <v>1.0954142367685273</v>
      </c>
      <c r="Z313" s="10">
        <f t="shared" si="110"/>
        <v>1.0942127426490453</v>
      </c>
      <c r="AA313" s="10">
        <f t="shared" si="110"/>
        <v>1.0930112485295633</v>
      </c>
      <c r="AB313" s="10">
        <f t="shared" si="110"/>
        <v>1.0918097544100815</v>
      </c>
      <c r="AC313" s="10">
        <f t="shared" si="110"/>
        <v>1.0906082602905998</v>
      </c>
      <c r="AD313" s="10">
        <f t="shared" si="110"/>
        <v>1.0894067661711184</v>
      </c>
      <c r="AE313" s="10">
        <f t="shared" si="110"/>
        <v>1.0872633314695044</v>
      </c>
      <c r="AF313" s="10">
        <f t="shared" si="110"/>
        <v>1.0851198967678901</v>
      </c>
      <c r="AG313" s="10">
        <f t="shared" si="110"/>
        <v>1.0829764620662761</v>
      </c>
      <c r="AH313" s="10">
        <f t="shared" si="110"/>
        <v>1.080833027364662</v>
      </c>
      <c r="AI313" s="10">
        <f t="shared" si="110"/>
        <v>1.078689592663048</v>
      </c>
      <c r="AJ313" s="10">
        <f t="shared" si="110"/>
        <v>1.0765461579614339</v>
      </c>
      <c r="AK313" s="10">
        <f t="shared" si="110"/>
        <v>1.0744027232598197</v>
      </c>
      <c r="AL313" s="10">
        <f t="shared" si="110"/>
        <v>1.0722592885582056</v>
      </c>
      <c r="AM313" s="10">
        <f t="shared" si="110"/>
        <v>1.0701158538565916</v>
      </c>
      <c r="AN313" s="10">
        <f t="shared" si="110"/>
        <v>1.0679724191549775</v>
      </c>
      <c r="AO313" s="10">
        <f t="shared" si="110"/>
        <v>1.0658289844533633</v>
      </c>
      <c r="AP313" s="10">
        <f t="shared" si="110"/>
        <v>1.0636855497517492</v>
      </c>
      <c r="AQ313" s="10">
        <f t="shared" si="110"/>
        <v>1.0615421150501352</v>
      </c>
      <c r="AR313" s="10">
        <f t="shared" si="110"/>
        <v>1.0593986803485209</v>
      </c>
      <c r="AS313" s="10">
        <f t="shared" si="110"/>
        <v>1.0572552456469069</v>
      </c>
      <c r="AT313" s="10">
        <f t="shared" si="110"/>
        <v>1.0551118109452928</v>
      </c>
      <c r="AU313" s="10">
        <f t="shared" si="110"/>
        <v>1.0529683762436788</v>
      </c>
      <c r="AV313" s="10">
        <f t="shared" si="110"/>
        <v>1.0508249415420645</v>
      </c>
      <c r="AW313" s="10">
        <f t="shared" si="110"/>
        <v>1.0486815068404505</v>
      </c>
      <c r="AX313" s="10">
        <f t="shared" si="110"/>
        <v>1.0465380721388378</v>
      </c>
      <c r="AY313" s="10">
        <f t="shared" si="110"/>
        <v>1.0465380721388378</v>
      </c>
      <c r="AZ313" s="10">
        <f t="shared" si="110"/>
        <v>1.0465380721388378</v>
      </c>
      <c r="BA313" s="10">
        <f t="shared" si="110"/>
        <v>1.0465380721388378</v>
      </c>
      <c r="BB313" s="10">
        <f t="shared" si="110"/>
        <v>1.0465380721388378</v>
      </c>
      <c r="BC313" s="10">
        <f t="shared" si="110"/>
        <v>1.0465380721388378</v>
      </c>
      <c r="BD313" s="10">
        <f t="shared" si="110"/>
        <v>1.0465380721388378</v>
      </c>
      <c r="BE313" s="10">
        <f t="shared" si="110"/>
        <v>1.0465380721388378</v>
      </c>
      <c r="BF313" s="10">
        <f t="shared" si="110"/>
        <v>1.0465380721388378</v>
      </c>
      <c r="BG313" s="10">
        <f t="shared" si="110"/>
        <v>1.0465380721388378</v>
      </c>
      <c r="BH313" s="10">
        <f t="shared" si="110"/>
        <v>1.0465380721388378</v>
      </c>
      <c r="BI313" s="10">
        <f t="shared" si="110"/>
        <v>1.0465380721388378</v>
      </c>
    </row>
    <row r="314" spans="1:61" s="613" customFormat="1" ht="30">
      <c r="A314" s="670" t="s">
        <v>534</v>
      </c>
      <c r="B314" s="685"/>
      <c r="C314" s="671"/>
      <c r="D314" s="671"/>
      <c r="E314" s="671"/>
      <c r="F314" s="671"/>
      <c r="G314" s="671"/>
      <c r="H314" s="671"/>
      <c r="I314" s="671"/>
      <c r="J314" s="671"/>
      <c r="K314" s="671"/>
      <c r="L314" s="671"/>
      <c r="M314" s="671"/>
      <c r="N314" s="671"/>
      <c r="O314" s="671"/>
      <c r="P314" s="674"/>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row>
    <row r="315" spans="1:61" s="613" customFormat="1">
      <c r="A315" s="8" t="str">
        <f t="shared" ref="A315:A328" si="111">"Prędkość "&amp;$S173&amp;" km/h"</f>
        <v>Prędkość 0-10 km/h</v>
      </c>
      <c r="B315" s="129" t="s">
        <v>42</v>
      </c>
      <c r="C315" s="13"/>
      <c r="D315" s="13"/>
      <c r="E315" s="13"/>
      <c r="F315" s="13"/>
      <c r="G315" s="13"/>
      <c r="H315" s="13"/>
      <c r="I315" s="13"/>
      <c r="J315" s="13"/>
      <c r="K315" s="13"/>
      <c r="L315" s="13"/>
      <c r="M315" s="13"/>
      <c r="N315" s="13"/>
      <c r="O315" s="13"/>
      <c r="P315" s="13"/>
      <c r="Q315" s="93"/>
      <c r="R315" s="93"/>
      <c r="S315" s="93"/>
      <c r="T315" s="10">
        <f t="shared" ref="T315:BI315" si="112">($U173*$U$205*T$215)*U$57+(0)*U$58</f>
        <v>2.9781794511564383</v>
      </c>
      <c r="U315" s="10">
        <f t="shared" si="112"/>
        <v>3.0794375524957571</v>
      </c>
      <c r="V315" s="10">
        <f t="shared" si="112"/>
        <v>3.2364888676730406</v>
      </c>
      <c r="W315" s="10">
        <f t="shared" si="112"/>
        <v>3.2364888676730406</v>
      </c>
      <c r="X315" s="10">
        <f t="shared" si="112"/>
        <v>3.2364888676730406</v>
      </c>
      <c r="Y315" s="10">
        <f t="shared" si="112"/>
        <v>3.2364888676730406</v>
      </c>
      <c r="Z315" s="10">
        <f t="shared" si="112"/>
        <v>3.2364888676730406</v>
      </c>
      <c r="AA315" s="10">
        <f t="shared" si="112"/>
        <v>3.2364888676730406</v>
      </c>
      <c r="AB315" s="10">
        <f t="shared" si="112"/>
        <v>3.2364888676730406</v>
      </c>
      <c r="AC315" s="10">
        <f t="shared" si="112"/>
        <v>3.2364888676730406</v>
      </c>
      <c r="AD315" s="10">
        <f t="shared" si="112"/>
        <v>3.2364888676730406</v>
      </c>
      <c r="AE315" s="10">
        <f t="shared" si="112"/>
        <v>3.2364888676730406</v>
      </c>
      <c r="AF315" s="10">
        <f t="shared" si="112"/>
        <v>3.2364888676730406</v>
      </c>
      <c r="AG315" s="10">
        <f t="shared" si="112"/>
        <v>3.2364888676730406</v>
      </c>
      <c r="AH315" s="10">
        <f t="shared" si="112"/>
        <v>3.2364888676730406</v>
      </c>
      <c r="AI315" s="10">
        <f t="shared" si="112"/>
        <v>3.2364888676730406</v>
      </c>
      <c r="AJ315" s="10">
        <f t="shared" si="112"/>
        <v>3.2364888676730406</v>
      </c>
      <c r="AK315" s="10">
        <f t="shared" si="112"/>
        <v>3.2364888676730406</v>
      </c>
      <c r="AL315" s="10">
        <f t="shared" si="112"/>
        <v>3.2364888676730406</v>
      </c>
      <c r="AM315" s="10">
        <f t="shared" si="112"/>
        <v>3.2364888676730406</v>
      </c>
      <c r="AN315" s="10">
        <f t="shared" si="112"/>
        <v>3.2364888676730406</v>
      </c>
      <c r="AO315" s="10">
        <f t="shared" si="112"/>
        <v>3.2364888676730406</v>
      </c>
      <c r="AP315" s="10">
        <f t="shared" si="112"/>
        <v>3.2364888676730406</v>
      </c>
      <c r="AQ315" s="10">
        <f t="shared" si="112"/>
        <v>3.2364888676730406</v>
      </c>
      <c r="AR315" s="10">
        <f t="shared" si="112"/>
        <v>3.2364888676730406</v>
      </c>
      <c r="AS315" s="10">
        <f t="shared" si="112"/>
        <v>3.2364888676730406</v>
      </c>
      <c r="AT315" s="10">
        <f t="shared" si="112"/>
        <v>3.2364888676730406</v>
      </c>
      <c r="AU315" s="10">
        <f t="shared" si="112"/>
        <v>3.2364888676730406</v>
      </c>
      <c r="AV315" s="10">
        <f t="shared" si="112"/>
        <v>3.2364888676730406</v>
      </c>
      <c r="AW315" s="10">
        <f t="shared" si="112"/>
        <v>3.2364888676730406</v>
      </c>
      <c r="AX315" s="10">
        <f t="shared" si="112"/>
        <v>3.2364888676730406</v>
      </c>
      <c r="AY315" s="10">
        <f t="shared" si="112"/>
        <v>3.2364888676730406</v>
      </c>
      <c r="AZ315" s="10">
        <f t="shared" si="112"/>
        <v>3.2364888676730406</v>
      </c>
      <c r="BA315" s="10">
        <f t="shared" si="112"/>
        <v>3.2364888676730406</v>
      </c>
      <c r="BB315" s="10">
        <f t="shared" si="112"/>
        <v>3.2364888676730406</v>
      </c>
      <c r="BC315" s="10">
        <f t="shared" si="112"/>
        <v>3.2364888676730406</v>
      </c>
      <c r="BD315" s="10">
        <f t="shared" si="112"/>
        <v>3.2364888676730406</v>
      </c>
      <c r="BE315" s="10">
        <f t="shared" si="112"/>
        <v>3.2364888676730406</v>
      </c>
      <c r="BF315" s="10">
        <f t="shared" si="112"/>
        <v>3.2364888676730406</v>
      </c>
      <c r="BG315" s="10">
        <f t="shared" si="112"/>
        <v>3.2364888676730406</v>
      </c>
      <c r="BH315" s="10">
        <f t="shared" si="112"/>
        <v>3.2364888676730406</v>
      </c>
      <c r="BI315" s="10">
        <f t="shared" si="112"/>
        <v>3.2364888676730406</v>
      </c>
    </row>
    <row r="316" spans="1:61" s="613" customFormat="1">
      <c r="A316" s="8" t="str">
        <f t="shared" si="111"/>
        <v>Prędkość 11-20 km/h</v>
      </c>
      <c r="B316" s="129" t="s">
        <v>42</v>
      </c>
      <c r="C316" s="13"/>
      <c r="D316" s="13"/>
      <c r="E316" s="13"/>
      <c r="F316" s="13"/>
      <c r="G316" s="13"/>
      <c r="H316" s="13"/>
      <c r="I316" s="13"/>
      <c r="J316" s="13"/>
      <c r="K316" s="13"/>
      <c r="L316" s="13"/>
      <c r="M316" s="13"/>
      <c r="N316" s="13"/>
      <c r="O316" s="13"/>
      <c r="P316" s="13"/>
      <c r="Q316" s="93"/>
      <c r="R316" s="93"/>
      <c r="S316" s="93"/>
      <c r="T316" s="10">
        <f t="shared" ref="T316:BI316" si="113">($U174*$U$205*T$215)*U$57+(0)*U$58</f>
        <v>2.3029407221610732</v>
      </c>
      <c r="U316" s="10">
        <f t="shared" si="113"/>
        <v>2.3812407067145496</v>
      </c>
      <c r="V316" s="10">
        <f t="shared" si="113"/>
        <v>2.5026839827569916</v>
      </c>
      <c r="W316" s="10">
        <f t="shared" si="113"/>
        <v>2.5026839827569916</v>
      </c>
      <c r="X316" s="10">
        <f t="shared" si="113"/>
        <v>2.5026839827569916</v>
      </c>
      <c r="Y316" s="10">
        <f t="shared" si="113"/>
        <v>2.5026839827569916</v>
      </c>
      <c r="Z316" s="10">
        <f t="shared" si="113"/>
        <v>2.5026839827569916</v>
      </c>
      <c r="AA316" s="10">
        <f t="shared" si="113"/>
        <v>2.5026839827569916</v>
      </c>
      <c r="AB316" s="10">
        <f t="shared" si="113"/>
        <v>2.5026839827569916</v>
      </c>
      <c r="AC316" s="10">
        <f t="shared" si="113"/>
        <v>2.5026839827569916</v>
      </c>
      <c r="AD316" s="10">
        <f t="shared" si="113"/>
        <v>2.5026839827569916</v>
      </c>
      <c r="AE316" s="10">
        <f t="shared" si="113"/>
        <v>2.5026839827569916</v>
      </c>
      <c r="AF316" s="10">
        <f t="shared" si="113"/>
        <v>2.5026839827569916</v>
      </c>
      <c r="AG316" s="10">
        <f t="shared" si="113"/>
        <v>2.5026839827569916</v>
      </c>
      <c r="AH316" s="10">
        <f t="shared" si="113"/>
        <v>2.5026839827569916</v>
      </c>
      <c r="AI316" s="10">
        <f t="shared" si="113"/>
        <v>2.5026839827569916</v>
      </c>
      <c r="AJ316" s="10">
        <f t="shared" si="113"/>
        <v>2.5026839827569916</v>
      </c>
      <c r="AK316" s="10">
        <f t="shared" si="113"/>
        <v>2.5026839827569916</v>
      </c>
      <c r="AL316" s="10">
        <f t="shared" si="113"/>
        <v>2.5026839827569916</v>
      </c>
      <c r="AM316" s="10">
        <f t="shared" si="113"/>
        <v>2.5026839827569916</v>
      </c>
      <c r="AN316" s="10">
        <f t="shared" si="113"/>
        <v>2.5026839827569916</v>
      </c>
      <c r="AO316" s="10">
        <f t="shared" si="113"/>
        <v>2.5026839827569916</v>
      </c>
      <c r="AP316" s="10">
        <f t="shared" si="113"/>
        <v>2.5026839827569916</v>
      </c>
      <c r="AQ316" s="10">
        <f t="shared" si="113"/>
        <v>2.5026839827569916</v>
      </c>
      <c r="AR316" s="10">
        <f t="shared" si="113"/>
        <v>2.5026839827569916</v>
      </c>
      <c r="AS316" s="10">
        <f t="shared" si="113"/>
        <v>2.5026839827569916</v>
      </c>
      <c r="AT316" s="10">
        <f t="shared" si="113"/>
        <v>2.5026839827569916</v>
      </c>
      <c r="AU316" s="10">
        <f t="shared" si="113"/>
        <v>2.5026839827569916</v>
      </c>
      <c r="AV316" s="10">
        <f t="shared" si="113"/>
        <v>2.5026839827569916</v>
      </c>
      <c r="AW316" s="10">
        <f t="shared" si="113"/>
        <v>2.5026839827569916</v>
      </c>
      <c r="AX316" s="10">
        <f t="shared" si="113"/>
        <v>2.5026839827569916</v>
      </c>
      <c r="AY316" s="10">
        <f t="shared" si="113"/>
        <v>2.5026839827569916</v>
      </c>
      <c r="AZ316" s="10">
        <f t="shared" si="113"/>
        <v>2.5026839827569916</v>
      </c>
      <c r="BA316" s="10">
        <f t="shared" si="113"/>
        <v>2.5026839827569916</v>
      </c>
      <c r="BB316" s="10">
        <f t="shared" si="113"/>
        <v>2.5026839827569916</v>
      </c>
      <c r="BC316" s="10">
        <f t="shared" si="113"/>
        <v>2.5026839827569916</v>
      </c>
      <c r="BD316" s="10">
        <f t="shared" si="113"/>
        <v>2.5026839827569916</v>
      </c>
      <c r="BE316" s="10">
        <f t="shared" si="113"/>
        <v>2.5026839827569916</v>
      </c>
      <c r="BF316" s="10">
        <f t="shared" si="113"/>
        <v>2.5026839827569916</v>
      </c>
      <c r="BG316" s="10">
        <f t="shared" si="113"/>
        <v>2.5026839827569916</v>
      </c>
      <c r="BH316" s="10">
        <f t="shared" si="113"/>
        <v>2.5026839827569916</v>
      </c>
      <c r="BI316" s="10">
        <f t="shared" si="113"/>
        <v>2.5026839827569916</v>
      </c>
    </row>
    <row r="317" spans="1:61" s="613" customFormat="1">
      <c r="A317" s="8" t="str">
        <f t="shared" si="111"/>
        <v>Prędkość 21-30 km/h</v>
      </c>
      <c r="B317" s="129" t="s">
        <v>42</v>
      </c>
      <c r="C317" s="13"/>
      <c r="D317" s="13"/>
      <c r="E317" s="13"/>
      <c r="F317" s="13"/>
      <c r="G317" s="13"/>
      <c r="H317" s="13"/>
      <c r="I317" s="13"/>
      <c r="J317" s="13"/>
      <c r="K317" s="13"/>
      <c r="L317" s="13"/>
      <c r="M317" s="13"/>
      <c r="N317" s="13"/>
      <c r="O317" s="13"/>
      <c r="P317" s="13"/>
      <c r="Q317" s="93"/>
      <c r="R317" s="93"/>
      <c r="S317" s="93"/>
      <c r="T317" s="10">
        <f t="shared" ref="T317:BI317" si="114">($U175*$U$205*T$215)*U$57+(0)*U$58</f>
        <v>2.0996974545050899</v>
      </c>
      <c r="U317" s="10">
        <f t="shared" si="114"/>
        <v>2.1710871679582628</v>
      </c>
      <c r="V317" s="10">
        <f t="shared" si="114"/>
        <v>2.2818126135241341</v>
      </c>
      <c r="W317" s="10">
        <f t="shared" si="114"/>
        <v>2.2818126135241341</v>
      </c>
      <c r="X317" s="10">
        <f t="shared" si="114"/>
        <v>2.2818126135241341</v>
      </c>
      <c r="Y317" s="10">
        <f t="shared" si="114"/>
        <v>2.2818126135241341</v>
      </c>
      <c r="Z317" s="10">
        <f t="shared" si="114"/>
        <v>2.2818126135241341</v>
      </c>
      <c r="AA317" s="10">
        <f t="shared" si="114"/>
        <v>2.2818126135241341</v>
      </c>
      <c r="AB317" s="10">
        <f t="shared" si="114"/>
        <v>2.2818126135241341</v>
      </c>
      <c r="AC317" s="10">
        <f t="shared" si="114"/>
        <v>2.2818126135241341</v>
      </c>
      <c r="AD317" s="10">
        <f t="shared" si="114"/>
        <v>2.2818126135241341</v>
      </c>
      <c r="AE317" s="10">
        <f t="shared" si="114"/>
        <v>2.2818126135241341</v>
      </c>
      <c r="AF317" s="10">
        <f t="shared" si="114"/>
        <v>2.2818126135241341</v>
      </c>
      <c r="AG317" s="10">
        <f t="shared" si="114"/>
        <v>2.2818126135241341</v>
      </c>
      <c r="AH317" s="10">
        <f t="shared" si="114"/>
        <v>2.2818126135241341</v>
      </c>
      <c r="AI317" s="10">
        <f t="shared" si="114"/>
        <v>2.2818126135241341</v>
      </c>
      <c r="AJ317" s="10">
        <f t="shared" si="114"/>
        <v>2.2818126135241341</v>
      </c>
      <c r="AK317" s="10">
        <f t="shared" si="114"/>
        <v>2.2818126135241341</v>
      </c>
      <c r="AL317" s="10">
        <f t="shared" si="114"/>
        <v>2.2818126135241341</v>
      </c>
      <c r="AM317" s="10">
        <f t="shared" si="114"/>
        <v>2.2818126135241341</v>
      </c>
      <c r="AN317" s="10">
        <f t="shared" si="114"/>
        <v>2.2818126135241341</v>
      </c>
      <c r="AO317" s="10">
        <f t="shared" si="114"/>
        <v>2.2818126135241341</v>
      </c>
      <c r="AP317" s="10">
        <f t="shared" si="114"/>
        <v>2.2818126135241341</v>
      </c>
      <c r="AQ317" s="10">
        <f t="shared" si="114"/>
        <v>2.2818126135241341</v>
      </c>
      <c r="AR317" s="10">
        <f t="shared" si="114"/>
        <v>2.2818126135241341</v>
      </c>
      <c r="AS317" s="10">
        <f t="shared" si="114"/>
        <v>2.2818126135241341</v>
      </c>
      <c r="AT317" s="10">
        <f t="shared" si="114"/>
        <v>2.2818126135241341</v>
      </c>
      <c r="AU317" s="10">
        <f t="shared" si="114"/>
        <v>2.2818126135241341</v>
      </c>
      <c r="AV317" s="10">
        <f t="shared" si="114"/>
        <v>2.2818126135241341</v>
      </c>
      <c r="AW317" s="10">
        <f t="shared" si="114"/>
        <v>2.2818126135241341</v>
      </c>
      <c r="AX317" s="10">
        <f t="shared" si="114"/>
        <v>2.2818126135241341</v>
      </c>
      <c r="AY317" s="10">
        <f t="shared" si="114"/>
        <v>2.2818126135241341</v>
      </c>
      <c r="AZ317" s="10">
        <f t="shared" si="114"/>
        <v>2.2818126135241341</v>
      </c>
      <c r="BA317" s="10">
        <f t="shared" si="114"/>
        <v>2.2818126135241341</v>
      </c>
      <c r="BB317" s="10">
        <f t="shared" si="114"/>
        <v>2.2818126135241341</v>
      </c>
      <c r="BC317" s="10">
        <f t="shared" si="114"/>
        <v>2.2818126135241341</v>
      </c>
      <c r="BD317" s="10">
        <f t="shared" si="114"/>
        <v>2.2818126135241341</v>
      </c>
      <c r="BE317" s="10">
        <f t="shared" si="114"/>
        <v>2.2818126135241341</v>
      </c>
      <c r="BF317" s="10">
        <f t="shared" si="114"/>
        <v>2.2818126135241341</v>
      </c>
      <c r="BG317" s="10">
        <f t="shared" si="114"/>
        <v>2.2818126135241341</v>
      </c>
      <c r="BH317" s="10">
        <f t="shared" si="114"/>
        <v>2.2818126135241341</v>
      </c>
      <c r="BI317" s="10">
        <f t="shared" si="114"/>
        <v>2.2818126135241341</v>
      </c>
    </row>
    <row r="318" spans="1:61" s="613" customFormat="1">
      <c r="A318" s="8" t="str">
        <f t="shared" si="111"/>
        <v>Prędkość 31-40 km/h</v>
      </c>
      <c r="B318" s="129" t="s">
        <v>42</v>
      </c>
      <c r="C318" s="13"/>
      <c r="D318" s="13"/>
      <c r="E318" s="13"/>
      <c r="F318" s="13"/>
      <c r="G318" s="13"/>
      <c r="H318" s="13"/>
      <c r="I318" s="13"/>
      <c r="J318" s="13"/>
      <c r="K318" s="13"/>
      <c r="L318" s="13"/>
      <c r="M318" s="13"/>
      <c r="N318" s="13"/>
      <c r="O318" s="13"/>
      <c r="P318" s="13"/>
      <c r="Q318" s="93"/>
      <c r="R318" s="93"/>
      <c r="S318" s="93"/>
      <c r="T318" s="10">
        <f t="shared" ref="T318:BI318" si="115">($U176*$U$205*T$215)*U$57+(0)*U$58</f>
        <v>1.9965228984518499</v>
      </c>
      <c r="U318" s="10">
        <f t="shared" si="115"/>
        <v>2.0644046769992128</v>
      </c>
      <c r="V318" s="10">
        <f t="shared" si="115"/>
        <v>2.1696893155261723</v>
      </c>
      <c r="W318" s="10">
        <f t="shared" si="115"/>
        <v>2.1696893155261723</v>
      </c>
      <c r="X318" s="10">
        <f t="shared" si="115"/>
        <v>2.1696893155261723</v>
      </c>
      <c r="Y318" s="10">
        <f t="shared" si="115"/>
        <v>2.1696893155261723</v>
      </c>
      <c r="Z318" s="10">
        <f t="shared" si="115"/>
        <v>2.1696893155261723</v>
      </c>
      <c r="AA318" s="10">
        <f t="shared" si="115"/>
        <v>2.1696893155261723</v>
      </c>
      <c r="AB318" s="10">
        <f t="shared" si="115"/>
        <v>2.1696893155261723</v>
      </c>
      <c r="AC318" s="10">
        <f t="shared" si="115"/>
        <v>2.1696893155261723</v>
      </c>
      <c r="AD318" s="10">
        <f t="shared" si="115"/>
        <v>2.1696893155261723</v>
      </c>
      <c r="AE318" s="10">
        <f t="shared" si="115"/>
        <v>2.1696893155261723</v>
      </c>
      <c r="AF318" s="10">
        <f t="shared" si="115"/>
        <v>2.1696893155261723</v>
      </c>
      <c r="AG318" s="10">
        <f t="shared" si="115"/>
        <v>2.1696893155261723</v>
      </c>
      <c r="AH318" s="10">
        <f t="shared" si="115"/>
        <v>2.1696893155261723</v>
      </c>
      <c r="AI318" s="10">
        <f t="shared" si="115"/>
        <v>2.1696893155261723</v>
      </c>
      <c r="AJ318" s="10">
        <f t="shared" si="115"/>
        <v>2.1696893155261723</v>
      </c>
      <c r="AK318" s="10">
        <f t="shared" si="115"/>
        <v>2.1696893155261723</v>
      </c>
      <c r="AL318" s="10">
        <f t="shared" si="115"/>
        <v>2.1696893155261723</v>
      </c>
      <c r="AM318" s="10">
        <f t="shared" si="115"/>
        <v>2.1696893155261723</v>
      </c>
      <c r="AN318" s="10">
        <f t="shared" si="115"/>
        <v>2.1696893155261723</v>
      </c>
      <c r="AO318" s="10">
        <f t="shared" si="115"/>
        <v>2.1696893155261723</v>
      </c>
      <c r="AP318" s="10">
        <f t="shared" si="115"/>
        <v>2.1696893155261723</v>
      </c>
      <c r="AQ318" s="10">
        <f t="shared" si="115"/>
        <v>2.1696893155261723</v>
      </c>
      <c r="AR318" s="10">
        <f t="shared" si="115"/>
        <v>2.1696893155261723</v>
      </c>
      <c r="AS318" s="10">
        <f t="shared" si="115"/>
        <v>2.1696893155261723</v>
      </c>
      <c r="AT318" s="10">
        <f t="shared" si="115"/>
        <v>2.1696893155261723</v>
      </c>
      <c r="AU318" s="10">
        <f t="shared" si="115"/>
        <v>2.1696893155261723</v>
      </c>
      <c r="AV318" s="10">
        <f t="shared" si="115"/>
        <v>2.1696893155261723</v>
      </c>
      <c r="AW318" s="10">
        <f t="shared" si="115"/>
        <v>2.1696893155261723</v>
      </c>
      <c r="AX318" s="10">
        <f t="shared" si="115"/>
        <v>2.1696893155261723</v>
      </c>
      <c r="AY318" s="10">
        <f t="shared" si="115"/>
        <v>2.1696893155261723</v>
      </c>
      <c r="AZ318" s="10">
        <f t="shared" si="115"/>
        <v>2.1696893155261723</v>
      </c>
      <c r="BA318" s="10">
        <f t="shared" si="115"/>
        <v>2.1696893155261723</v>
      </c>
      <c r="BB318" s="10">
        <f t="shared" si="115"/>
        <v>2.1696893155261723</v>
      </c>
      <c r="BC318" s="10">
        <f t="shared" si="115"/>
        <v>2.1696893155261723</v>
      </c>
      <c r="BD318" s="10">
        <f t="shared" si="115"/>
        <v>2.1696893155261723</v>
      </c>
      <c r="BE318" s="10">
        <f t="shared" si="115"/>
        <v>2.1696893155261723</v>
      </c>
      <c r="BF318" s="10">
        <f t="shared" si="115"/>
        <v>2.1696893155261723</v>
      </c>
      <c r="BG318" s="10">
        <f t="shared" si="115"/>
        <v>2.1696893155261723</v>
      </c>
      <c r="BH318" s="10">
        <f t="shared" si="115"/>
        <v>2.1696893155261723</v>
      </c>
      <c r="BI318" s="10">
        <f t="shared" si="115"/>
        <v>2.1696893155261723</v>
      </c>
    </row>
    <row r="319" spans="1:61" s="613" customFormat="1">
      <c r="A319" s="8" t="str">
        <f t="shared" si="111"/>
        <v>Prędkość 41-50 km/h</v>
      </c>
      <c r="B319" s="129" t="s">
        <v>42</v>
      </c>
      <c r="C319" s="13"/>
      <c r="D319" s="13"/>
      <c r="E319" s="13"/>
      <c r="F319" s="13"/>
      <c r="G319" s="13"/>
      <c r="H319" s="13"/>
      <c r="I319" s="13"/>
      <c r="J319" s="13"/>
      <c r="K319" s="13"/>
      <c r="L319" s="13"/>
      <c r="M319" s="13"/>
      <c r="N319" s="13"/>
      <c r="O319" s="13"/>
      <c r="P319" s="13"/>
      <c r="Q319" s="93"/>
      <c r="R319" s="93"/>
      <c r="S319" s="93"/>
      <c r="T319" s="10">
        <f t="shared" ref="T319:BI319" si="116">($U177*$U$205*T$215)*U$57+(0)*U$58</f>
        <v>1.939886399703517</v>
      </c>
      <c r="U319" s="10">
        <f t="shared" si="116"/>
        <v>2.0058425372934368</v>
      </c>
      <c r="V319" s="10">
        <f t="shared" si="116"/>
        <v>2.1081405066954013</v>
      </c>
      <c r="W319" s="10">
        <f t="shared" si="116"/>
        <v>2.1081405066954013</v>
      </c>
      <c r="X319" s="10">
        <f t="shared" si="116"/>
        <v>2.1081405066954013</v>
      </c>
      <c r="Y319" s="10">
        <f t="shared" si="116"/>
        <v>2.1081405066954013</v>
      </c>
      <c r="Z319" s="10">
        <f t="shared" si="116"/>
        <v>2.1081405066954013</v>
      </c>
      <c r="AA319" s="10">
        <f t="shared" si="116"/>
        <v>2.1081405066954013</v>
      </c>
      <c r="AB319" s="10">
        <f t="shared" si="116"/>
        <v>2.1081405066954013</v>
      </c>
      <c r="AC319" s="10">
        <f t="shared" si="116"/>
        <v>2.1081405066954013</v>
      </c>
      <c r="AD319" s="10">
        <f t="shared" si="116"/>
        <v>2.1081405066954013</v>
      </c>
      <c r="AE319" s="10">
        <f t="shared" si="116"/>
        <v>2.1081405066954013</v>
      </c>
      <c r="AF319" s="10">
        <f t="shared" si="116"/>
        <v>2.1081405066954013</v>
      </c>
      <c r="AG319" s="10">
        <f t="shared" si="116"/>
        <v>2.1081405066954013</v>
      </c>
      <c r="AH319" s="10">
        <f t="shared" si="116"/>
        <v>2.1081405066954013</v>
      </c>
      <c r="AI319" s="10">
        <f t="shared" si="116"/>
        <v>2.1081405066954013</v>
      </c>
      <c r="AJ319" s="10">
        <f t="shared" si="116"/>
        <v>2.1081405066954013</v>
      </c>
      <c r="AK319" s="10">
        <f t="shared" si="116"/>
        <v>2.1081405066954013</v>
      </c>
      <c r="AL319" s="10">
        <f t="shared" si="116"/>
        <v>2.1081405066954013</v>
      </c>
      <c r="AM319" s="10">
        <f t="shared" si="116"/>
        <v>2.1081405066954013</v>
      </c>
      <c r="AN319" s="10">
        <f t="shared" si="116"/>
        <v>2.1081405066954013</v>
      </c>
      <c r="AO319" s="10">
        <f t="shared" si="116"/>
        <v>2.1081405066954013</v>
      </c>
      <c r="AP319" s="10">
        <f t="shared" si="116"/>
        <v>2.1081405066954013</v>
      </c>
      <c r="AQ319" s="10">
        <f t="shared" si="116"/>
        <v>2.1081405066954013</v>
      </c>
      <c r="AR319" s="10">
        <f t="shared" si="116"/>
        <v>2.1081405066954013</v>
      </c>
      <c r="AS319" s="10">
        <f t="shared" si="116"/>
        <v>2.1081405066954013</v>
      </c>
      <c r="AT319" s="10">
        <f t="shared" si="116"/>
        <v>2.1081405066954013</v>
      </c>
      <c r="AU319" s="10">
        <f t="shared" si="116"/>
        <v>2.1081405066954013</v>
      </c>
      <c r="AV319" s="10">
        <f t="shared" si="116"/>
        <v>2.1081405066954013</v>
      </c>
      <c r="AW319" s="10">
        <f t="shared" si="116"/>
        <v>2.1081405066954013</v>
      </c>
      <c r="AX319" s="10">
        <f t="shared" si="116"/>
        <v>2.1081405066954013</v>
      </c>
      <c r="AY319" s="10">
        <f t="shared" si="116"/>
        <v>2.1081405066954013</v>
      </c>
      <c r="AZ319" s="10">
        <f t="shared" si="116"/>
        <v>2.1081405066954013</v>
      </c>
      <c r="BA319" s="10">
        <f t="shared" si="116"/>
        <v>2.1081405066954013</v>
      </c>
      <c r="BB319" s="10">
        <f t="shared" si="116"/>
        <v>2.1081405066954013</v>
      </c>
      <c r="BC319" s="10">
        <f t="shared" si="116"/>
        <v>2.1081405066954013</v>
      </c>
      <c r="BD319" s="10">
        <f t="shared" si="116"/>
        <v>2.1081405066954013</v>
      </c>
      <c r="BE319" s="10">
        <f t="shared" si="116"/>
        <v>2.1081405066954013</v>
      </c>
      <c r="BF319" s="10">
        <f t="shared" si="116"/>
        <v>2.1081405066954013</v>
      </c>
      <c r="BG319" s="10">
        <f t="shared" si="116"/>
        <v>2.1081405066954013</v>
      </c>
      <c r="BH319" s="10">
        <f t="shared" si="116"/>
        <v>2.1081405066954013</v>
      </c>
      <c r="BI319" s="10">
        <f t="shared" si="116"/>
        <v>2.1081405066954013</v>
      </c>
    </row>
    <row r="320" spans="1:61" s="613" customFormat="1">
      <c r="A320" s="8" t="str">
        <f t="shared" si="111"/>
        <v>Prędkość 51-60 km/h</v>
      </c>
      <c r="B320" s="129" t="s">
        <v>42</v>
      </c>
      <c r="C320" s="13"/>
      <c r="D320" s="13"/>
      <c r="E320" s="13"/>
      <c r="F320" s="13"/>
      <c r="G320" s="13"/>
      <c r="H320" s="13"/>
      <c r="I320" s="13"/>
      <c r="J320" s="13"/>
      <c r="K320" s="13"/>
      <c r="L320" s="13"/>
      <c r="M320" s="13"/>
      <c r="N320" s="13"/>
      <c r="O320" s="13"/>
      <c r="P320" s="13"/>
      <c r="Q320" s="93"/>
      <c r="R320" s="93"/>
      <c r="S320" s="93"/>
      <c r="T320" s="10">
        <f t="shared" ref="T320:BI320" si="117">($U178*$U$205*T$215)*U$57+(0)*U$58</f>
        <v>1.9097575991734939</v>
      </c>
      <c r="U320" s="10">
        <f t="shared" si="117"/>
        <v>1.9746893575453928</v>
      </c>
      <c r="V320" s="10">
        <f t="shared" si="117"/>
        <v>2.0753985147802072</v>
      </c>
      <c r="W320" s="10">
        <f t="shared" si="117"/>
        <v>2.0753985147802072</v>
      </c>
      <c r="X320" s="10">
        <f t="shared" si="117"/>
        <v>2.0753985147802072</v>
      </c>
      <c r="Y320" s="10">
        <f t="shared" si="117"/>
        <v>2.0753985147802072</v>
      </c>
      <c r="Z320" s="10">
        <f t="shared" si="117"/>
        <v>2.0753985147802072</v>
      </c>
      <c r="AA320" s="10">
        <f t="shared" si="117"/>
        <v>2.0753985147802072</v>
      </c>
      <c r="AB320" s="10">
        <f t="shared" si="117"/>
        <v>2.0753985147802072</v>
      </c>
      <c r="AC320" s="10">
        <f t="shared" si="117"/>
        <v>2.0753985147802072</v>
      </c>
      <c r="AD320" s="10">
        <f t="shared" si="117"/>
        <v>2.0753985147802072</v>
      </c>
      <c r="AE320" s="10">
        <f t="shared" si="117"/>
        <v>2.0753985147802072</v>
      </c>
      <c r="AF320" s="10">
        <f t="shared" si="117"/>
        <v>2.0753985147802072</v>
      </c>
      <c r="AG320" s="10">
        <f t="shared" si="117"/>
        <v>2.0753985147802072</v>
      </c>
      <c r="AH320" s="10">
        <f t="shared" si="117"/>
        <v>2.0753985147802072</v>
      </c>
      <c r="AI320" s="10">
        <f t="shared" si="117"/>
        <v>2.0753985147802072</v>
      </c>
      <c r="AJ320" s="10">
        <f t="shared" si="117"/>
        <v>2.0753985147802072</v>
      </c>
      <c r="AK320" s="10">
        <f t="shared" si="117"/>
        <v>2.0753985147802072</v>
      </c>
      <c r="AL320" s="10">
        <f t="shared" si="117"/>
        <v>2.0753985147802072</v>
      </c>
      <c r="AM320" s="10">
        <f t="shared" si="117"/>
        <v>2.0753985147802072</v>
      </c>
      <c r="AN320" s="10">
        <f t="shared" si="117"/>
        <v>2.0753985147802072</v>
      </c>
      <c r="AO320" s="10">
        <f t="shared" si="117"/>
        <v>2.0753985147802072</v>
      </c>
      <c r="AP320" s="10">
        <f t="shared" si="117"/>
        <v>2.0753985147802072</v>
      </c>
      <c r="AQ320" s="10">
        <f t="shared" si="117"/>
        <v>2.0753985147802072</v>
      </c>
      <c r="AR320" s="10">
        <f t="shared" si="117"/>
        <v>2.0753985147802072</v>
      </c>
      <c r="AS320" s="10">
        <f t="shared" si="117"/>
        <v>2.0753985147802072</v>
      </c>
      <c r="AT320" s="10">
        <f t="shared" si="117"/>
        <v>2.0753985147802072</v>
      </c>
      <c r="AU320" s="10">
        <f t="shared" si="117"/>
        <v>2.0753985147802072</v>
      </c>
      <c r="AV320" s="10">
        <f t="shared" si="117"/>
        <v>2.0753985147802072</v>
      </c>
      <c r="AW320" s="10">
        <f t="shared" si="117"/>
        <v>2.0753985147802072</v>
      </c>
      <c r="AX320" s="10">
        <f t="shared" si="117"/>
        <v>2.0753985147802072</v>
      </c>
      <c r="AY320" s="10">
        <f t="shared" si="117"/>
        <v>2.0753985147802072</v>
      </c>
      <c r="AZ320" s="10">
        <f t="shared" si="117"/>
        <v>2.0753985147802072</v>
      </c>
      <c r="BA320" s="10">
        <f t="shared" si="117"/>
        <v>2.0753985147802072</v>
      </c>
      <c r="BB320" s="10">
        <f t="shared" si="117"/>
        <v>2.0753985147802072</v>
      </c>
      <c r="BC320" s="10">
        <f t="shared" si="117"/>
        <v>2.0753985147802072</v>
      </c>
      <c r="BD320" s="10">
        <f t="shared" si="117"/>
        <v>2.0753985147802072</v>
      </c>
      <c r="BE320" s="10">
        <f t="shared" si="117"/>
        <v>2.0753985147802072</v>
      </c>
      <c r="BF320" s="10">
        <f t="shared" si="117"/>
        <v>2.0753985147802072</v>
      </c>
      <c r="BG320" s="10">
        <f t="shared" si="117"/>
        <v>2.0753985147802072</v>
      </c>
      <c r="BH320" s="10">
        <f t="shared" si="117"/>
        <v>2.0753985147802072</v>
      </c>
      <c r="BI320" s="10">
        <f t="shared" si="117"/>
        <v>2.0753985147802072</v>
      </c>
    </row>
    <row r="321" spans="1:61">
      <c r="A321" s="8" t="str">
        <f t="shared" si="111"/>
        <v>Prędkość 61-70 km/h</v>
      </c>
      <c r="B321" s="129" t="s">
        <v>42</v>
      </c>
      <c r="C321" s="13"/>
      <c r="D321" s="13"/>
      <c r="E321" s="13"/>
      <c r="F321" s="13"/>
      <c r="G321" s="13"/>
      <c r="H321" s="13"/>
      <c r="I321" s="13"/>
      <c r="J321" s="13"/>
      <c r="K321" s="13"/>
      <c r="L321" s="13"/>
      <c r="M321" s="13"/>
      <c r="N321" s="13"/>
      <c r="O321" s="13"/>
      <c r="P321" s="13"/>
      <c r="Q321" s="93"/>
      <c r="R321" s="93"/>
      <c r="S321" s="93"/>
      <c r="T321" s="10">
        <f t="shared" ref="T321:BI321" si="118">($U179*$U$205*T$215)*U$57+(0)*U$58</f>
        <v>1.8956275255604569</v>
      </c>
      <c r="U321" s="10">
        <f t="shared" si="118"/>
        <v>1.9600788614295124</v>
      </c>
      <c r="V321" s="10">
        <f t="shared" si="118"/>
        <v>2.0600428833624171</v>
      </c>
      <c r="W321" s="10">
        <f t="shared" si="118"/>
        <v>2.0600428833624171</v>
      </c>
      <c r="X321" s="10">
        <f t="shared" si="118"/>
        <v>2.0600428833624171</v>
      </c>
      <c r="Y321" s="10">
        <f t="shared" si="118"/>
        <v>2.0600428833624171</v>
      </c>
      <c r="Z321" s="10">
        <f t="shared" si="118"/>
        <v>2.0600428833624171</v>
      </c>
      <c r="AA321" s="10">
        <f t="shared" si="118"/>
        <v>2.0600428833624171</v>
      </c>
      <c r="AB321" s="10">
        <f t="shared" si="118"/>
        <v>2.0600428833624171</v>
      </c>
      <c r="AC321" s="10">
        <f t="shared" si="118"/>
        <v>2.0600428833624171</v>
      </c>
      <c r="AD321" s="10">
        <f t="shared" si="118"/>
        <v>2.0600428833624171</v>
      </c>
      <c r="AE321" s="10">
        <f t="shared" si="118"/>
        <v>2.0600428833624171</v>
      </c>
      <c r="AF321" s="10">
        <f t="shared" si="118"/>
        <v>2.0600428833624171</v>
      </c>
      <c r="AG321" s="10">
        <f t="shared" si="118"/>
        <v>2.0600428833624171</v>
      </c>
      <c r="AH321" s="10">
        <f t="shared" si="118"/>
        <v>2.0600428833624171</v>
      </c>
      <c r="AI321" s="10">
        <f t="shared" si="118"/>
        <v>2.0600428833624171</v>
      </c>
      <c r="AJ321" s="10">
        <f t="shared" si="118"/>
        <v>2.0600428833624171</v>
      </c>
      <c r="AK321" s="10">
        <f t="shared" si="118"/>
        <v>2.0600428833624171</v>
      </c>
      <c r="AL321" s="10">
        <f t="shared" si="118"/>
        <v>2.0600428833624171</v>
      </c>
      <c r="AM321" s="10">
        <f t="shared" si="118"/>
        <v>2.0600428833624171</v>
      </c>
      <c r="AN321" s="10">
        <f t="shared" si="118"/>
        <v>2.0600428833624171</v>
      </c>
      <c r="AO321" s="10">
        <f t="shared" si="118"/>
        <v>2.0600428833624171</v>
      </c>
      <c r="AP321" s="10">
        <f t="shared" si="118"/>
        <v>2.0600428833624171</v>
      </c>
      <c r="AQ321" s="10">
        <f t="shared" si="118"/>
        <v>2.0600428833624171</v>
      </c>
      <c r="AR321" s="10">
        <f t="shared" si="118"/>
        <v>2.0600428833624171</v>
      </c>
      <c r="AS321" s="10">
        <f t="shared" si="118"/>
        <v>2.0600428833624171</v>
      </c>
      <c r="AT321" s="10">
        <f t="shared" si="118"/>
        <v>2.0600428833624171</v>
      </c>
      <c r="AU321" s="10">
        <f t="shared" si="118"/>
        <v>2.0600428833624171</v>
      </c>
      <c r="AV321" s="10">
        <f t="shared" si="118"/>
        <v>2.0600428833624171</v>
      </c>
      <c r="AW321" s="10">
        <f t="shared" si="118"/>
        <v>2.0600428833624171</v>
      </c>
      <c r="AX321" s="10">
        <f t="shared" si="118"/>
        <v>2.0600428833624171</v>
      </c>
      <c r="AY321" s="10">
        <f t="shared" si="118"/>
        <v>2.0600428833624171</v>
      </c>
      <c r="AZ321" s="10">
        <f t="shared" si="118"/>
        <v>2.0600428833624171</v>
      </c>
      <c r="BA321" s="10">
        <f t="shared" si="118"/>
        <v>2.0600428833624171</v>
      </c>
      <c r="BB321" s="10">
        <f t="shared" si="118"/>
        <v>2.0600428833624171</v>
      </c>
      <c r="BC321" s="10">
        <f t="shared" si="118"/>
        <v>2.0600428833624171</v>
      </c>
      <c r="BD321" s="10">
        <f t="shared" si="118"/>
        <v>2.0600428833624171</v>
      </c>
      <c r="BE321" s="10">
        <f t="shared" si="118"/>
        <v>2.0600428833624171</v>
      </c>
      <c r="BF321" s="10">
        <f t="shared" si="118"/>
        <v>2.0600428833624171</v>
      </c>
      <c r="BG321" s="10">
        <f t="shared" si="118"/>
        <v>2.0600428833624171</v>
      </c>
      <c r="BH321" s="10">
        <f t="shared" si="118"/>
        <v>2.0600428833624171</v>
      </c>
      <c r="BI321" s="10">
        <f t="shared" si="118"/>
        <v>2.0600428833624171</v>
      </c>
    </row>
    <row r="322" spans="1:61">
      <c r="A322" s="8" t="str">
        <f t="shared" si="111"/>
        <v>Prędkość 71-80 km/h</v>
      </c>
      <c r="B322" s="129" t="s">
        <v>42</v>
      </c>
      <c r="C322" s="13"/>
      <c r="D322" s="13"/>
      <c r="E322" s="13"/>
      <c r="F322" s="13"/>
      <c r="G322" s="13"/>
      <c r="H322" s="13"/>
      <c r="I322" s="13"/>
      <c r="J322" s="13"/>
      <c r="K322" s="13"/>
      <c r="L322" s="13"/>
      <c r="M322" s="13"/>
      <c r="N322" s="13"/>
      <c r="O322" s="13"/>
      <c r="P322" s="13"/>
      <c r="Q322" s="93"/>
      <c r="R322" s="93"/>
      <c r="S322" s="93"/>
      <c r="T322" s="10">
        <f t="shared" ref="T322:BI322" si="119">($U180*$U$205*T$215)*U$57+(0)*U$58</f>
        <v>1.8917762673720642</v>
      </c>
      <c r="U322" s="10">
        <f t="shared" si="119"/>
        <v>1.9560966604627144</v>
      </c>
      <c r="V322" s="10">
        <f t="shared" si="119"/>
        <v>2.0558575901463128</v>
      </c>
      <c r="W322" s="10">
        <f t="shared" si="119"/>
        <v>2.0558575901463128</v>
      </c>
      <c r="X322" s="10">
        <f t="shared" si="119"/>
        <v>2.0558575901463128</v>
      </c>
      <c r="Y322" s="10">
        <f t="shared" si="119"/>
        <v>2.0558575901463128</v>
      </c>
      <c r="Z322" s="10">
        <f t="shared" si="119"/>
        <v>2.0558575901463128</v>
      </c>
      <c r="AA322" s="10">
        <f t="shared" si="119"/>
        <v>2.0558575901463128</v>
      </c>
      <c r="AB322" s="10">
        <f t="shared" si="119"/>
        <v>2.0558575901463128</v>
      </c>
      <c r="AC322" s="10">
        <f t="shared" si="119"/>
        <v>2.0558575901463128</v>
      </c>
      <c r="AD322" s="10">
        <f t="shared" si="119"/>
        <v>2.0558575901463128</v>
      </c>
      <c r="AE322" s="10">
        <f t="shared" si="119"/>
        <v>2.0558575901463128</v>
      </c>
      <c r="AF322" s="10">
        <f t="shared" si="119"/>
        <v>2.0558575901463128</v>
      </c>
      <c r="AG322" s="10">
        <f t="shared" si="119"/>
        <v>2.0558575901463128</v>
      </c>
      <c r="AH322" s="10">
        <f t="shared" si="119"/>
        <v>2.0558575901463128</v>
      </c>
      <c r="AI322" s="10">
        <f t="shared" si="119"/>
        <v>2.0558575901463128</v>
      </c>
      <c r="AJ322" s="10">
        <f t="shared" si="119"/>
        <v>2.0558575901463128</v>
      </c>
      <c r="AK322" s="10">
        <f t="shared" si="119"/>
        <v>2.0558575901463128</v>
      </c>
      <c r="AL322" s="10">
        <f t="shared" si="119"/>
        <v>2.0558575901463128</v>
      </c>
      <c r="AM322" s="10">
        <f t="shared" si="119"/>
        <v>2.0558575901463128</v>
      </c>
      <c r="AN322" s="10">
        <f t="shared" si="119"/>
        <v>2.0558575901463128</v>
      </c>
      <c r="AO322" s="10">
        <f t="shared" si="119"/>
        <v>2.0558575901463128</v>
      </c>
      <c r="AP322" s="10">
        <f t="shared" si="119"/>
        <v>2.0558575901463128</v>
      </c>
      <c r="AQ322" s="10">
        <f t="shared" si="119"/>
        <v>2.0558575901463128</v>
      </c>
      <c r="AR322" s="10">
        <f t="shared" si="119"/>
        <v>2.0558575901463128</v>
      </c>
      <c r="AS322" s="10">
        <f t="shared" si="119"/>
        <v>2.0558575901463128</v>
      </c>
      <c r="AT322" s="10">
        <f t="shared" si="119"/>
        <v>2.0558575901463128</v>
      </c>
      <c r="AU322" s="10">
        <f t="shared" si="119"/>
        <v>2.0558575901463128</v>
      </c>
      <c r="AV322" s="10">
        <f t="shared" si="119"/>
        <v>2.0558575901463128</v>
      </c>
      <c r="AW322" s="10">
        <f t="shared" si="119"/>
        <v>2.0558575901463128</v>
      </c>
      <c r="AX322" s="10">
        <f t="shared" si="119"/>
        <v>2.0558575901463128</v>
      </c>
      <c r="AY322" s="10">
        <f t="shared" si="119"/>
        <v>2.0558575901463128</v>
      </c>
      <c r="AZ322" s="10">
        <f t="shared" si="119"/>
        <v>2.0558575901463128</v>
      </c>
      <c r="BA322" s="10">
        <f t="shared" si="119"/>
        <v>2.0558575901463128</v>
      </c>
      <c r="BB322" s="10">
        <f t="shared" si="119"/>
        <v>2.0558575901463128</v>
      </c>
      <c r="BC322" s="10">
        <f t="shared" si="119"/>
        <v>2.0558575901463128</v>
      </c>
      <c r="BD322" s="10">
        <f t="shared" si="119"/>
        <v>2.0558575901463128</v>
      </c>
      <c r="BE322" s="10">
        <f t="shared" si="119"/>
        <v>2.0558575901463128</v>
      </c>
      <c r="BF322" s="10">
        <f t="shared" si="119"/>
        <v>2.0558575901463128</v>
      </c>
      <c r="BG322" s="10">
        <f t="shared" si="119"/>
        <v>2.0558575901463128</v>
      </c>
      <c r="BH322" s="10">
        <f t="shared" si="119"/>
        <v>2.0558575901463128</v>
      </c>
      <c r="BI322" s="10">
        <f t="shared" si="119"/>
        <v>2.0558575901463128</v>
      </c>
    </row>
    <row r="323" spans="1:61">
      <c r="A323" s="8" t="str">
        <f t="shared" si="111"/>
        <v>Prędkość 81-90 km/h</v>
      </c>
      <c r="B323" s="129" t="s">
        <v>42</v>
      </c>
      <c r="C323" s="13"/>
      <c r="D323" s="13"/>
      <c r="E323" s="13"/>
      <c r="F323" s="13"/>
      <c r="G323" s="13"/>
      <c r="H323" s="13"/>
      <c r="I323" s="13"/>
      <c r="J323" s="13"/>
      <c r="K323" s="13"/>
      <c r="L323" s="13"/>
      <c r="M323" s="13"/>
      <c r="N323" s="13"/>
      <c r="O323" s="13"/>
      <c r="P323" s="13"/>
      <c r="Q323" s="93"/>
      <c r="R323" s="93"/>
      <c r="S323" s="93"/>
      <c r="T323" s="10">
        <f t="shared" ref="T323:BI323" si="120">($U181*$U$205*T$215)*U$57+(0)*U$58</f>
        <v>1.8960749225492468</v>
      </c>
      <c r="U323" s="10">
        <f t="shared" si="120"/>
        <v>1.9605414699159212</v>
      </c>
      <c r="V323" s="10">
        <f t="shared" si="120"/>
        <v>2.0605290848816331</v>
      </c>
      <c r="W323" s="10">
        <f t="shared" si="120"/>
        <v>2.0605290848816331</v>
      </c>
      <c r="X323" s="10">
        <f t="shared" si="120"/>
        <v>2.0605290848816331</v>
      </c>
      <c r="Y323" s="10">
        <f t="shared" si="120"/>
        <v>2.0605290848816331</v>
      </c>
      <c r="Z323" s="10">
        <f t="shared" si="120"/>
        <v>2.0605290848816331</v>
      </c>
      <c r="AA323" s="10">
        <f t="shared" si="120"/>
        <v>2.0605290848816331</v>
      </c>
      <c r="AB323" s="10">
        <f t="shared" si="120"/>
        <v>2.0605290848816331</v>
      </c>
      <c r="AC323" s="10">
        <f t="shared" si="120"/>
        <v>2.0605290848816331</v>
      </c>
      <c r="AD323" s="10">
        <f t="shared" si="120"/>
        <v>2.0605290848816331</v>
      </c>
      <c r="AE323" s="10">
        <f t="shared" si="120"/>
        <v>2.0605290848816331</v>
      </c>
      <c r="AF323" s="10">
        <f t="shared" si="120"/>
        <v>2.0605290848816331</v>
      </c>
      <c r="AG323" s="10">
        <f t="shared" si="120"/>
        <v>2.0605290848816331</v>
      </c>
      <c r="AH323" s="10">
        <f t="shared" si="120"/>
        <v>2.0605290848816331</v>
      </c>
      <c r="AI323" s="10">
        <f t="shared" si="120"/>
        <v>2.0605290848816331</v>
      </c>
      <c r="AJ323" s="10">
        <f t="shared" si="120"/>
        <v>2.0605290848816331</v>
      </c>
      <c r="AK323" s="10">
        <f t="shared" si="120"/>
        <v>2.0605290848816331</v>
      </c>
      <c r="AL323" s="10">
        <f t="shared" si="120"/>
        <v>2.0605290848816331</v>
      </c>
      <c r="AM323" s="10">
        <f t="shared" si="120"/>
        <v>2.0605290848816331</v>
      </c>
      <c r="AN323" s="10">
        <f t="shared" si="120"/>
        <v>2.0605290848816331</v>
      </c>
      <c r="AO323" s="10">
        <f t="shared" si="120"/>
        <v>2.0605290848816331</v>
      </c>
      <c r="AP323" s="10">
        <f t="shared" si="120"/>
        <v>2.0605290848816331</v>
      </c>
      <c r="AQ323" s="10">
        <f t="shared" si="120"/>
        <v>2.0605290848816331</v>
      </c>
      <c r="AR323" s="10">
        <f t="shared" si="120"/>
        <v>2.0605290848816331</v>
      </c>
      <c r="AS323" s="10">
        <f t="shared" si="120"/>
        <v>2.0605290848816331</v>
      </c>
      <c r="AT323" s="10">
        <f t="shared" si="120"/>
        <v>2.0605290848816331</v>
      </c>
      <c r="AU323" s="10">
        <f t="shared" si="120"/>
        <v>2.0605290848816331</v>
      </c>
      <c r="AV323" s="10">
        <f t="shared" si="120"/>
        <v>2.0605290848816331</v>
      </c>
      <c r="AW323" s="10">
        <f t="shared" si="120"/>
        <v>2.0605290848816331</v>
      </c>
      <c r="AX323" s="10">
        <f t="shared" si="120"/>
        <v>2.0605290848816331</v>
      </c>
      <c r="AY323" s="10">
        <f t="shared" si="120"/>
        <v>2.0605290848816331</v>
      </c>
      <c r="AZ323" s="10">
        <f t="shared" si="120"/>
        <v>2.0605290848816331</v>
      </c>
      <c r="BA323" s="10">
        <f t="shared" si="120"/>
        <v>2.0605290848816331</v>
      </c>
      <c r="BB323" s="10">
        <f t="shared" si="120"/>
        <v>2.0605290848816331</v>
      </c>
      <c r="BC323" s="10">
        <f t="shared" si="120"/>
        <v>2.0605290848816331</v>
      </c>
      <c r="BD323" s="10">
        <f t="shared" si="120"/>
        <v>2.0605290848816331</v>
      </c>
      <c r="BE323" s="10">
        <f t="shared" si="120"/>
        <v>2.0605290848816331</v>
      </c>
      <c r="BF323" s="10">
        <f t="shared" si="120"/>
        <v>2.0605290848816331</v>
      </c>
      <c r="BG323" s="10">
        <f t="shared" si="120"/>
        <v>2.0605290848816331</v>
      </c>
      <c r="BH323" s="10">
        <f t="shared" si="120"/>
        <v>2.0605290848816331</v>
      </c>
      <c r="BI323" s="10">
        <f t="shared" si="120"/>
        <v>2.0605290848816331</v>
      </c>
    </row>
    <row r="324" spans="1:61">
      <c r="A324" s="8" t="str">
        <f t="shared" si="111"/>
        <v>Prędkość 91-100 km/h</v>
      </c>
      <c r="B324" s="129" t="s">
        <v>42</v>
      </c>
      <c r="C324" s="13"/>
      <c r="D324" s="13"/>
      <c r="E324" s="13"/>
      <c r="F324" s="13"/>
      <c r="G324" s="13"/>
      <c r="H324" s="13"/>
      <c r="I324" s="13"/>
      <c r="J324" s="13"/>
      <c r="K324" s="13"/>
      <c r="L324" s="13"/>
      <c r="M324" s="13"/>
      <c r="N324" s="13"/>
      <c r="O324" s="13"/>
      <c r="P324" s="13"/>
      <c r="Q324" s="93"/>
      <c r="R324" s="93"/>
      <c r="S324" s="93"/>
      <c r="T324" s="10">
        <f t="shared" ref="T324:BI324" si="121">($U182*$U$205*T$215)*U$57+(0)*U$58</f>
        <v>1.9124682866743843</v>
      </c>
      <c r="U324" s="10">
        <f t="shared" si="121"/>
        <v>1.9774922084213133</v>
      </c>
      <c r="V324" s="10">
        <f t="shared" si="121"/>
        <v>2.0783443110508002</v>
      </c>
      <c r="W324" s="10">
        <f t="shared" si="121"/>
        <v>2.0783443110508002</v>
      </c>
      <c r="X324" s="10">
        <f t="shared" si="121"/>
        <v>2.0783443110508002</v>
      </c>
      <c r="Y324" s="10">
        <f t="shared" si="121"/>
        <v>2.0783443110508002</v>
      </c>
      <c r="Z324" s="10">
        <f t="shared" si="121"/>
        <v>2.0783443110508002</v>
      </c>
      <c r="AA324" s="10">
        <f t="shared" si="121"/>
        <v>2.0783443110508002</v>
      </c>
      <c r="AB324" s="10">
        <f t="shared" si="121"/>
        <v>2.0783443110508002</v>
      </c>
      <c r="AC324" s="10">
        <f t="shared" si="121"/>
        <v>2.0783443110508002</v>
      </c>
      <c r="AD324" s="10">
        <f t="shared" si="121"/>
        <v>2.0783443110508002</v>
      </c>
      <c r="AE324" s="10">
        <f t="shared" si="121"/>
        <v>2.0783443110508002</v>
      </c>
      <c r="AF324" s="10">
        <f t="shared" si="121"/>
        <v>2.0783443110508002</v>
      </c>
      <c r="AG324" s="10">
        <f t="shared" si="121"/>
        <v>2.0783443110508002</v>
      </c>
      <c r="AH324" s="10">
        <f t="shared" si="121"/>
        <v>2.0783443110508002</v>
      </c>
      <c r="AI324" s="10">
        <f t="shared" si="121"/>
        <v>2.0783443110508002</v>
      </c>
      <c r="AJ324" s="10">
        <f t="shared" si="121"/>
        <v>2.0783443110508002</v>
      </c>
      <c r="AK324" s="10">
        <f t="shared" si="121"/>
        <v>2.0783443110508002</v>
      </c>
      <c r="AL324" s="10">
        <f t="shared" si="121"/>
        <v>2.0783443110508002</v>
      </c>
      <c r="AM324" s="10">
        <f t="shared" si="121"/>
        <v>2.0783443110508002</v>
      </c>
      <c r="AN324" s="10">
        <f t="shared" si="121"/>
        <v>2.0783443110508002</v>
      </c>
      <c r="AO324" s="10">
        <f t="shared" si="121"/>
        <v>2.0783443110508002</v>
      </c>
      <c r="AP324" s="10">
        <f t="shared" si="121"/>
        <v>2.0783443110508002</v>
      </c>
      <c r="AQ324" s="10">
        <f t="shared" si="121"/>
        <v>2.0783443110508002</v>
      </c>
      <c r="AR324" s="10">
        <f t="shared" si="121"/>
        <v>2.0783443110508002</v>
      </c>
      <c r="AS324" s="10">
        <f t="shared" si="121"/>
        <v>2.0783443110508002</v>
      </c>
      <c r="AT324" s="10">
        <f t="shared" si="121"/>
        <v>2.0783443110508002</v>
      </c>
      <c r="AU324" s="10">
        <f t="shared" si="121"/>
        <v>2.0783443110508002</v>
      </c>
      <c r="AV324" s="10">
        <f t="shared" si="121"/>
        <v>2.0783443110508002</v>
      </c>
      <c r="AW324" s="10">
        <f t="shared" si="121"/>
        <v>2.0783443110508002</v>
      </c>
      <c r="AX324" s="10">
        <f t="shared" si="121"/>
        <v>2.0783443110508002</v>
      </c>
      <c r="AY324" s="10">
        <f t="shared" si="121"/>
        <v>2.0783443110508002</v>
      </c>
      <c r="AZ324" s="10">
        <f t="shared" si="121"/>
        <v>2.0783443110508002</v>
      </c>
      <c r="BA324" s="10">
        <f t="shared" si="121"/>
        <v>2.0783443110508002</v>
      </c>
      <c r="BB324" s="10">
        <f t="shared" si="121"/>
        <v>2.0783443110508002</v>
      </c>
      <c r="BC324" s="10">
        <f t="shared" si="121"/>
        <v>2.0783443110508002</v>
      </c>
      <c r="BD324" s="10">
        <f t="shared" si="121"/>
        <v>2.0783443110508002</v>
      </c>
      <c r="BE324" s="10">
        <f t="shared" si="121"/>
        <v>2.0783443110508002</v>
      </c>
      <c r="BF324" s="10">
        <f t="shared" si="121"/>
        <v>2.0783443110508002</v>
      </c>
      <c r="BG324" s="10">
        <f t="shared" si="121"/>
        <v>2.0783443110508002</v>
      </c>
      <c r="BH324" s="10">
        <f t="shared" si="121"/>
        <v>2.0783443110508002</v>
      </c>
      <c r="BI324" s="10">
        <f t="shared" si="121"/>
        <v>2.0783443110508002</v>
      </c>
    </row>
    <row r="325" spans="1:61">
      <c r="A325" s="8" t="str">
        <f t="shared" si="111"/>
        <v>Prędkość 101-110 km/h</v>
      </c>
      <c r="B325" s="129" t="s">
        <v>42</v>
      </c>
      <c r="C325" s="13"/>
      <c r="D325" s="13"/>
      <c r="E325" s="13"/>
      <c r="F325" s="13"/>
      <c r="G325" s="13"/>
      <c r="H325" s="13"/>
      <c r="I325" s="13"/>
      <c r="J325" s="13"/>
      <c r="K325" s="13"/>
      <c r="L325" s="13"/>
      <c r="M325" s="13"/>
      <c r="N325" s="13"/>
      <c r="O325" s="13"/>
      <c r="P325" s="13"/>
      <c r="Q325" s="93"/>
      <c r="R325" s="93"/>
      <c r="S325" s="93"/>
      <c r="T325" s="10">
        <f t="shared" ref="T325:BI325" si="122">($U183*$U$205*T$215)*U$57+(0)*U$58</f>
        <v>1.9817147269141757</v>
      </c>
      <c r="U325" s="10">
        <f t="shared" si="122"/>
        <v>2.0490930276292576</v>
      </c>
      <c r="V325" s="10">
        <f t="shared" si="122"/>
        <v>2.1535967720383495</v>
      </c>
      <c r="W325" s="10">
        <f t="shared" si="122"/>
        <v>2.1535967720383495</v>
      </c>
      <c r="X325" s="10">
        <f t="shared" si="122"/>
        <v>2.1535967720383495</v>
      </c>
      <c r="Y325" s="10">
        <f t="shared" si="122"/>
        <v>2.1535967720383495</v>
      </c>
      <c r="Z325" s="10">
        <f t="shared" si="122"/>
        <v>2.1535967720383495</v>
      </c>
      <c r="AA325" s="10">
        <f t="shared" si="122"/>
        <v>2.1535967720383495</v>
      </c>
      <c r="AB325" s="10">
        <f t="shared" si="122"/>
        <v>2.1535967720383495</v>
      </c>
      <c r="AC325" s="10">
        <f t="shared" si="122"/>
        <v>2.1535967720383495</v>
      </c>
      <c r="AD325" s="10">
        <f t="shared" si="122"/>
        <v>2.1535967720383495</v>
      </c>
      <c r="AE325" s="10">
        <f t="shared" si="122"/>
        <v>2.1535967720383495</v>
      </c>
      <c r="AF325" s="10">
        <f t="shared" si="122"/>
        <v>2.1535967720383495</v>
      </c>
      <c r="AG325" s="10">
        <f t="shared" si="122"/>
        <v>2.1535967720383495</v>
      </c>
      <c r="AH325" s="10">
        <f t="shared" si="122"/>
        <v>2.1535967720383495</v>
      </c>
      <c r="AI325" s="10">
        <f t="shared" si="122"/>
        <v>2.1535967720383495</v>
      </c>
      <c r="AJ325" s="10">
        <f t="shared" si="122"/>
        <v>2.1535967720383495</v>
      </c>
      <c r="AK325" s="10">
        <f t="shared" si="122"/>
        <v>2.1535967720383495</v>
      </c>
      <c r="AL325" s="10">
        <f t="shared" si="122"/>
        <v>2.1535967720383495</v>
      </c>
      <c r="AM325" s="10">
        <f t="shared" si="122"/>
        <v>2.1535967720383495</v>
      </c>
      <c r="AN325" s="10">
        <f t="shared" si="122"/>
        <v>2.1535967720383495</v>
      </c>
      <c r="AO325" s="10">
        <f t="shared" si="122"/>
        <v>2.1535967720383495</v>
      </c>
      <c r="AP325" s="10">
        <f t="shared" si="122"/>
        <v>2.1535967720383495</v>
      </c>
      <c r="AQ325" s="10">
        <f t="shared" si="122"/>
        <v>2.1535967720383495</v>
      </c>
      <c r="AR325" s="10">
        <f t="shared" si="122"/>
        <v>2.1535967720383495</v>
      </c>
      <c r="AS325" s="10">
        <f t="shared" si="122"/>
        <v>2.1535967720383495</v>
      </c>
      <c r="AT325" s="10">
        <f t="shared" si="122"/>
        <v>2.1535967720383495</v>
      </c>
      <c r="AU325" s="10">
        <f t="shared" si="122"/>
        <v>2.1535967720383495</v>
      </c>
      <c r="AV325" s="10">
        <f t="shared" si="122"/>
        <v>2.1535967720383495</v>
      </c>
      <c r="AW325" s="10">
        <f t="shared" si="122"/>
        <v>2.1535967720383495</v>
      </c>
      <c r="AX325" s="10">
        <f t="shared" si="122"/>
        <v>2.1535967720383495</v>
      </c>
      <c r="AY325" s="10">
        <f t="shared" si="122"/>
        <v>2.1535967720383495</v>
      </c>
      <c r="AZ325" s="10">
        <f t="shared" si="122"/>
        <v>2.1535967720383495</v>
      </c>
      <c r="BA325" s="10">
        <f t="shared" si="122"/>
        <v>2.1535967720383495</v>
      </c>
      <c r="BB325" s="10">
        <f t="shared" si="122"/>
        <v>2.1535967720383495</v>
      </c>
      <c r="BC325" s="10">
        <f t="shared" si="122"/>
        <v>2.1535967720383495</v>
      </c>
      <c r="BD325" s="10">
        <f t="shared" si="122"/>
        <v>2.1535967720383495</v>
      </c>
      <c r="BE325" s="10">
        <f t="shared" si="122"/>
        <v>2.1535967720383495</v>
      </c>
      <c r="BF325" s="10">
        <f t="shared" si="122"/>
        <v>2.1535967720383495</v>
      </c>
      <c r="BG325" s="10">
        <f t="shared" si="122"/>
        <v>2.1535967720383495</v>
      </c>
      <c r="BH325" s="10">
        <f t="shared" si="122"/>
        <v>2.1535967720383495</v>
      </c>
      <c r="BI325" s="10">
        <f t="shared" si="122"/>
        <v>2.1535967720383495</v>
      </c>
    </row>
    <row r="326" spans="1:61">
      <c r="A326" s="8" t="str">
        <f t="shared" si="111"/>
        <v>Prędkość 111-120 km/h</v>
      </c>
      <c r="B326" s="129" t="s">
        <v>42</v>
      </c>
      <c r="C326" s="13"/>
      <c r="D326" s="13"/>
      <c r="E326" s="13"/>
      <c r="F326" s="13"/>
      <c r="G326" s="13"/>
      <c r="H326" s="13"/>
      <c r="I326" s="13"/>
      <c r="J326" s="13"/>
      <c r="K326" s="13"/>
      <c r="L326" s="13"/>
      <c r="M326" s="13"/>
      <c r="N326" s="13"/>
      <c r="O326" s="13"/>
      <c r="P326" s="13"/>
      <c r="Q326" s="93"/>
      <c r="R326" s="93"/>
      <c r="S326" s="93"/>
      <c r="T326" s="10">
        <f t="shared" ref="T326:BI326" si="123">($U184*$U$205*T$215)*U$57+(0)*U$58</f>
        <v>2.0509611671539671</v>
      </c>
      <c r="U326" s="10">
        <f t="shared" si="123"/>
        <v>2.1206938468372023</v>
      </c>
      <c r="V326" s="10">
        <f t="shared" si="123"/>
        <v>2.2288492330258989</v>
      </c>
      <c r="W326" s="10">
        <f t="shared" si="123"/>
        <v>2.2288492330258989</v>
      </c>
      <c r="X326" s="10">
        <f t="shared" si="123"/>
        <v>2.2288492330258989</v>
      </c>
      <c r="Y326" s="10">
        <f t="shared" si="123"/>
        <v>2.2288492330258989</v>
      </c>
      <c r="Z326" s="10">
        <f t="shared" si="123"/>
        <v>2.2288492330258989</v>
      </c>
      <c r="AA326" s="10">
        <f t="shared" si="123"/>
        <v>2.2288492330258989</v>
      </c>
      <c r="AB326" s="10">
        <f t="shared" si="123"/>
        <v>2.2288492330258989</v>
      </c>
      <c r="AC326" s="10">
        <f t="shared" si="123"/>
        <v>2.2288492330258989</v>
      </c>
      <c r="AD326" s="10">
        <f t="shared" si="123"/>
        <v>2.2288492330258989</v>
      </c>
      <c r="AE326" s="10">
        <f t="shared" si="123"/>
        <v>2.2288492330258989</v>
      </c>
      <c r="AF326" s="10">
        <f t="shared" si="123"/>
        <v>2.2288492330258989</v>
      </c>
      <c r="AG326" s="10">
        <f t="shared" si="123"/>
        <v>2.2288492330258989</v>
      </c>
      <c r="AH326" s="10">
        <f t="shared" si="123"/>
        <v>2.2288492330258989</v>
      </c>
      <c r="AI326" s="10">
        <f t="shared" si="123"/>
        <v>2.2288492330258989</v>
      </c>
      <c r="AJ326" s="10">
        <f t="shared" si="123"/>
        <v>2.2288492330258989</v>
      </c>
      <c r="AK326" s="10">
        <f t="shared" si="123"/>
        <v>2.2288492330258989</v>
      </c>
      <c r="AL326" s="10">
        <f t="shared" si="123"/>
        <v>2.2288492330258989</v>
      </c>
      <c r="AM326" s="10">
        <f t="shared" si="123"/>
        <v>2.2288492330258989</v>
      </c>
      <c r="AN326" s="10">
        <f t="shared" si="123"/>
        <v>2.2288492330258989</v>
      </c>
      <c r="AO326" s="10">
        <f t="shared" si="123"/>
        <v>2.2288492330258989</v>
      </c>
      <c r="AP326" s="10">
        <f t="shared" si="123"/>
        <v>2.2288492330258989</v>
      </c>
      <c r="AQ326" s="10">
        <f t="shared" si="123"/>
        <v>2.2288492330258989</v>
      </c>
      <c r="AR326" s="10">
        <f t="shared" si="123"/>
        <v>2.2288492330258989</v>
      </c>
      <c r="AS326" s="10">
        <f t="shared" si="123"/>
        <v>2.2288492330258989</v>
      </c>
      <c r="AT326" s="10">
        <f t="shared" si="123"/>
        <v>2.2288492330258989</v>
      </c>
      <c r="AU326" s="10">
        <f t="shared" si="123"/>
        <v>2.2288492330258989</v>
      </c>
      <c r="AV326" s="10">
        <f t="shared" si="123"/>
        <v>2.2288492330258989</v>
      </c>
      <c r="AW326" s="10">
        <f t="shared" si="123"/>
        <v>2.2288492330258989</v>
      </c>
      <c r="AX326" s="10">
        <f t="shared" si="123"/>
        <v>2.2288492330258989</v>
      </c>
      <c r="AY326" s="10">
        <f t="shared" si="123"/>
        <v>2.2288492330258989</v>
      </c>
      <c r="AZ326" s="10">
        <f t="shared" si="123"/>
        <v>2.2288492330258989</v>
      </c>
      <c r="BA326" s="10">
        <f t="shared" si="123"/>
        <v>2.2288492330258989</v>
      </c>
      <c r="BB326" s="10">
        <f t="shared" si="123"/>
        <v>2.2288492330258989</v>
      </c>
      <c r="BC326" s="10">
        <f t="shared" si="123"/>
        <v>2.2288492330258989</v>
      </c>
      <c r="BD326" s="10">
        <f t="shared" si="123"/>
        <v>2.2288492330258989</v>
      </c>
      <c r="BE326" s="10">
        <f t="shared" si="123"/>
        <v>2.2288492330258989</v>
      </c>
      <c r="BF326" s="10">
        <f t="shared" si="123"/>
        <v>2.2288492330258989</v>
      </c>
      <c r="BG326" s="10">
        <f t="shared" si="123"/>
        <v>2.2288492330258989</v>
      </c>
      <c r="BH326" s="10">
        <f t="shared" si="123"/>
        <v>2.2288492330258989</v>
      </c>
      <c r="BI326" s="10">
        <f t="shared" si="123"/>
        <v>2.2288492330258989</v>
      </c>
    </row>
    <row r="327" spans="1:61">
      <c r="A327" s="8" t="str">
        <f t="shared" si="111"/>
        <v>Prędkość 121-130 km/h</v>
      </c>
      <c r="B327" s="129" t="s">
        <v>42</v>
      </c>
      <c r="C327" s="13"/>
      <c r="D327" s="13"/>
      <c r="E327" s="13"/>
      <c r="F327" s="13"/>
      <c r="G327" s="13"/>
      <c r="H327" s="13"/>
      <c r="I327" s="13"/>
      <c r="J327" s="13"/>
      <c r="K327" s="13"/>
      <c r="L327" s="13"/>
      <c r="M327" s="13"/>
      <c r="N327" s="13"/>
      <c r="O327" s="13"/>
      <c r="P327" s="13"/>
      <c r="Q327" s="93"/>
      <c r="R327" s="93"/>
      <c r="S327" s="93"/>
      <c r="T327" s="10">
        <f t="shared" ref="T327:BI327" si="124">($U185*$U$205*T$215)*U$57+(0)*U$58</f>
        <v>2.1202076073937581</v>
      </c>
      <c r="U327" s="10">
        <f t="shared" si="124"/>
        <v>2.1922946660451461</v>
      </c>
      <c r="V327" s="10">
        <f t="shared" si="124"/>
        <v>2.3041016940134482</v>
      </c>
      <c r="W327" s="10">
        <f t="shared" si="124"/>
        <v>2.3041016940134482</v>
      </c>
      <c r="X327" s="10">
        <f t="shared" si="124"/>
        <v>2.3041016940134482</v>
      </c>
      <c r="Y327" s="10">
        <f t="shared" si="124"/>
        <v>2.3041016940134482</v>
      </c>
      <c r="Z327" s="10">
        <f t="shared" si="124"/>
        <v>2.3041016940134482</v>
      </c>
      <c r="AA327" s="10">
        <f t="shared" si="124"/>
        <v>2.3041016940134482</v>
      </c>
      <c r="AB327" s="10">
        <f t="shared" si="124"/>
        <v>2.3041016940134482</v>
      </c>
      <c r="AC327" s="10">
        <f t="shared" si="124"/>
        <v>2.3041016940134482</v>
      </c>
      <c r="AD327" s="10">
        <f t="shared" si="124"/>
        <v>2.3041016940134482</v>
      </c>
      <c r="AE327" s="10">
        <f t="shared" si="124"/>
        <v>2.3041016940134482</v>
      </c>
      <c r="AF327" s="10">
        <f t="shared" si="124"/>
        <v>2.3041016940134482</v>
      </c>
      <c r="AG327" s="10">
        <f t="shared" si="124"/>
        <v>2.3041016940134482</v>
      </c>
      <c r="AH327" s="10">
        <f t="shared" si="124"/>
        <v>2.3041016940134482</v>
      </c>
      <c r="AI327" s="10">
        <f t="shared" si="124"/>
        <v>2.3041016940134482</v>
      </c>
      <c r="AJ327" s="10">
        <f t="shared" si="124"/>
        <v>2.3041016940134482</v>
      </c>
      <c r="AK327" s="10">
        <f t="shared" si="124"/>
        <v>2.3041016940134482</v>
      </c>
      <c r="AL327" s="10">
        <f t="shared" si="124"/>
        <v>2.3041016940134482</v>
      </c>
      <c r="AM327" s="10">
        <f t="shared" si="124"/>
        <v>2.3041016940134482</v>
      </c>
      <c r="AN327" s="10">
        <f t="shared" si="124"/>
        <v>2.3041016940134482</v>
      </c>
      <c r="AO327" s="10">
        <f t="shared" si="124"/>
        <v>2.3041016940134482</v>
      </c>
      <c r="AP327" s="10">
        <f t="shared" si="124"/>
        <v>2.3041016940134482</v>
      </c>
      <c r="AQ327" s="10">
        <f t="shared" si="124"/>
        <v>2.3041016940134482</v>
      </c>
      <c r="AR327" s="10">
        <f t="shared" si="124"/>
        <v>2.3041016940134482</v>
      </c>
      <c r="AS327" s="10">
        <f t="shared" si="124"/>
        <v>2.3041016940134482</v>
      </c>
      <c r="AT327" s="10">
        <f t="shared" si="124"/>
        <v>2.3041016940134482</v>
      </c>
      <c r="AU327" s="10">
        <f t="shared" si="124"/>
        <v>2.3041016940134482</v>
      </c>
      <c r="AV327" s="10">
        <f t="shared" si="124"/>
        <v>2.3041016940134482</v>
      </c>
      <c r="AW327" s="10">
        <f t="shared" si="124"/>
        <v>2.3041016940134482</v>
      </c>
      <c r="AX327" s="10">
        <f t="shared" si="124"/>
        <v>2.3041016940134482</v>
      </c>
      <c r="AY327" s="10">
        <f t="shared" si="124"/>
        <v>2.3041016940134482</v>
      </c>
      <c r="AZ327" s="10">
        <f t="shared" si="124"/>
        <v>2.3041016940134482</v>
      </c>
      <c r="BA327" s="10">
        <f t="shared" si="124"/>
        <v>2.3041016940134482</v>
      </c>
      <c r="BB327" s="10">
        <f t="shared" si="124"/>
        <v>2.3041016940134482</v>
      </c>
      <c r="BC327" s="10">
        <f t="shared" si="124"/>
        <v>2.3041016940134482</v>
      </c>
      <c r="BD327" s="10">
        <f t="shared" si="124"/>
        <v>2.3041016940134482</v>
      </c>
      <c r="BE327" s="10">
        <f t="shared" si="124"/>
        <v>2.3041016940134482</v>
      </c>
      <c r="BF327" s="10">
        <f t="shared" si="124"/>
        <v>2.3041016940134482</v>
      </c>
      <c r="BG327" s="10">
        <f t="shared" si="124"/>
        <v>2.3041016940134482</v>
      </c>
      <c r="BH327" s="10">
        <f t="shared" si="124"/>
        <v>2.3041016940134482</v>
      </c>
      <c r="BI327" s="10">
        <f t="shared" si="124"/>
        <v>2.3041016940134482</v>
      </c>
    </row>
    <row r="328" spans="1:61">
      <c r="A328" s="8" t="str">
        <f t="shared" si="111"/>
        <v>Prędkość 131-140 km/h</v>
      </c>
      <c r="B328" s="129" t="s">
        <v>42</v>
      </c>
      <c r="C328" s="13"/>
      <c r="D328" s="13"/>
      <c r="E328" s="13"/>
      <c r="F328" s="13"/>
      <c r="G328" s="13"/>
      <c r="H328" s="13"/>
      <c r="I328" s="13"/>
      <c r="J328" s="13"/>
      <c r="K328" s="13"/>
      <c r="L328" s="13"/>
      <c r="M328" s="13"/>
      <c r="N328" s="13"/>
      <c r="O328" s="13"/>
      <c r="P328" s="13"/>
      <c r="Q328" s="93"/>
      <c r="R328" s="93"/>
      <c r="S328" s="93"/>
      <c r="T328" s="10">
        <f t="shared" ref="T328:BI328" si="125">($U186*$U$205*T$215)*U$57+(0)*U$58</f>
        <v>2.1894540476335491</v>
      </c>
      <c r="U328" s="10">
        <f t="shared" si="125"/>
        <v>2.2638954852530899</v>
      </c>
      <c r="V328" s="10">
        <f t="shared" si="125"/>
        <v>2.3793541550009971</v>
      </c>
      <c r="W328" s="10">
        <f t="shared" si="125"/>
        <v>2.3793541550009971</v>
      </c>
      <c r="X328" s="10">
        <f t="shared" si="125"/>
        <v>2.3793541550009971</v>
      </c>
      <c r="Y328" s="10">
        <f t="shared" si="125"/>
        <v>2.3793541550009971</v>
      </c>
      <c r="Z328" s="10">
        <f t="shared" si="125"/>
        <v>2.3793541550009971</v>
      </c>
      <c r="AA328" s="10">
        <f t="shared" si="125"/>
        <v>2.3793541550009971</v>
      </c>
      <c r="AB328" s="10">
        <f t="shared" si="125"/>
        <v>2.3793541550009971</v>
      </c>
      <c r="AC328" s="10">
        <f t="shared" si="125"/>
        <v>2.3793541550009971</v>
      </c>
      <c r="AD328" s="10">
        <f t="shared" si="125"/>
        <v>2.3793541550009971</v>
      </c>
      <c r="AE328" s="10">
        <f t="shared" si="125"/>
        <v>2.3793541550009971</v>
      </c>
      <c r="AF328" s="10">
        <f t="shared" si="125"/>
        <v>2.3793541550009971</v>
      </c>
      <c r="AG328" s="10">
        <f t="shared" si="125"/>
        <v>2.3793541550009971</v>
      </c>
      <c r="AH328" s="10">
        <f t="shared" si="125"/>
        <v>2.3793541550009971</v>
      </c>
      <c r="AI328" s="10">
        <f t="shared" si="125"/>
        <v>2.3793541550009971</v>
      </c>
      <c r="AJ328" s="10">
        <f t="shared" si="125"/>
        <v>2.3793541550009971</v>
      </c>
      <c r="AK328" s="10">
        <f t="shared" si="125"/>
        <v>2.3793541550009971</v>
      </c>
      <c r="AL328" s="10">
        <f t="shared" si="125"/>
        <v>2.3793541550009971</v>
      </c>
      <c r="AM328" s="10">
        <f t="shared" si="125"/>
        <v>2.3793541550009971</v>
      </c>
      <c r="AN328" s="10">
        <f t="shared" si="125"/>
        <v>2.3793541550009971</v>
      </c>
      <c r="AO328" s="10">
        <f t="shared" si="125"/>
        <v>2.3793541550009971</v>
      </c>
      <c r="AP328" s="10">
        <f t="shared" si="125"/>
        <v>2.3793541550009971</v>
      </c>
      <c r="AQ328" s="10">
        <f t="shared" si="125"/>
        <v>2.3793541550009971</v>
      </c>
      <c r="AR328" s="10">
        <f t="shared" si="125"/>
        <v>2.3793541550009971</v>
      </c>
      <c r="AS328" s="10">
        <f t="shared" si="125"/>
        <v>2.3793541550009971</v>
      </c>
      <c r="AT328" s="10">
        <f t="shared" si="125"/>
        <v>2.3793541550009971</v>
      </c>
      <c r="AU328" s="10">
        <f t="shared" si="125"/>
        <v>2.3793541550009971</v>
      </c>
      <c r="AV328" s="10">
        <f t="shared" si="125"/>
        <v>2.3793541550009971</v>
      </c>
      <c r="AW328" s="10">
        <f t="shared" si="125"/>
        <v>2.3793541550009971</v>
      </c>
      <c r="AX328" s="10">
        <f t="shared" si="125"/>
        <v>2.3793541550009971</v>
      </c>
      <c r="AY328" s="10">
        <f t="shared" si="125"/>
        <v>2.3793541550009971</v>
      </c>
      <c r="AZ328" s="10">
        <f t="shared" si="125"/>
        <v>2.3793541550009971</v>
      </c>
      <c r="BA328" s="10">
        <f t="shared" si="125"/>
        <v>2.3793541550009971</v>
      </c>
      <c r="BB328" s="10">
        <f t="shared" si="125"/>
        <v>2.3793541550009971</v>
      </c>
      <c r="BC328" s="10">
        <f t="shared" si="125"/>
        <v>2.3793541550009971</v>
      </c>
      <c r="BD328" s="10">
        <f t="shared" si="125"/>
        <v>2.3793541550009971</v>
      </c>
      <c r="BE328" s="10">
        <f t="shared" si="125"/>
        <v>2.3793541550009971</v>
      </c>
      <c r="BF328" s="10">
        <f t="shared" si="125"/>
        <v>2.3793541550009971</v>
      </c>
      <c r="BG328" s="10">
        <f t="shared" si="125"/>
        <v>2.3793541550009971</v>
      </c>
      <c r="BH328" s="10">
        <f t="shared" si="125"/>
        <v>2.3793541550009971</v>
      </c>
      <c r="BI328" s="10">
        <f t="shared" si="125"/>
        <v>2.3793541550009971</v>
      </c>
    </row>
    <row r="329" spans="1:61"/>
  </sheetData>
  <mergeCells count="54">
    <mergeCell ref="S259:AB261"/>
    <mergeCell ref="A280:V281"/>
    <mergeCell ref="A282:V283"/>
    <mergeCell ref="A293:V296"/>
    <mergeCell ref="A278:V279"/>
    <mergeCell ref="A289:V290"/>
    <mergeCell ref="A291:V292"/>
    <mergeCell ref="A224:V225"/>
    <mergeCell ref="S191:Z192"/>
    <mergeCell ref="A219:V220"/>
    <mergeCell ref="A107:V108"/>
    <mergeCell ref="A109:V109"/>
    <mergeCell ref="S115:AB117"/>
    <mergeCell ref="S208:AB210"/>
    <mergeCell ref="A198:V199"/>
    <mergeCell ref="A200:V201"/>
    <mergeCell ref="A130:V131"/>
    <mergeCell ref="A134:V135"/>
    <mergeCell ref="A149:V151"/>
    <mergeCell ref="A165:V167"/>
    <mergeCell ref="S168:U169"/>
    <mergeCell ref="W168:Y169"/>
    <mergeCell ref="A297:A298"/>
    <mergeCell ref="AR18:AS18"/>
    <mergeCell ref="P25:U26"/>
    <mergeCell ref="A226:A227"/>
    <mergeCell ref="S171:U171"/>
    <mergeCell ref="W170:Y170"/>
    <mergeCell ref="W171:Y171"/>
    <mergeCell ref="AL18:AM18"/>
    <mergeCell ref="AA81:AH82"/>
    <mergeCell ref="AA169:AH170"/>
    <mergeCell ref="S81:U81"/>
    <mergeCell ref="W81:Y81"/>
    <mergeCell ref="S170:U170"/>
    <mergeCell ref="S82:U82"/>
    <mergeCell ref="W82:Y82"/>
    <mergeCell ref="AD172:AG174"/>
    <mergeCell ref="AD84:AG86"/>
    <mergeCell ref="A284:A285"/>
    <mergeCell ref="AN18:AO18"/>
    <mergeCell ref="S83:U83"/>
    <mergeCell ref="W83:Y83"/>
    <mergeCell ref="S251:U253"/>
    <mergeCell ref="W251:Y253"/>
    <mergeCell ref="W25:AD30"/>
    <mergeCell ref="A60:V61"/>
    <mergeCell ref="A39:V40"/>
    <mergeCell ref="A62:V63"/>
    <mergeCell ref="A68:V69"/>
    <mergeCell ref="A70:V71"/>
    <mergeCell ref="A78:V80"/>
    <mergeCell ref="A105:V106"/>
    <mergeCell ref="A221:V223"/>
  </mergeCells>
  <conditionalFormatting sqref="T173:T186">
    <cfRule type="colorScale" priority="16">
      <colorScale>
        <cfvo type="min"/>
        <cfvo type="percentile" val="50"/>
        <cfvo type="max"/>
        <color rgb="FF63BE7B"/>
        <color rgb="FFFFEB84"/>
        <color rgb="FFF8696B"/>
      </colorScale>
    </cfRule>
  </conditionalFormatting>
  <conditionalFormatting sqref="U173:U186">
    <cfRule type="colorScale" priority="15">
      <colorScale>
        <cfvo type="min"/>
        <cfvo type="percentile" val="50"/>
        <cfvo type="max"/>
        <color rgb="FF63BE7B"/>
        <color rgb="FFFFEB84"/>
        <color rgb="FFF8696B"/>
      </colorScale>
    </cfRule>
  </conditionalFormatting>
  <conditionalFormatting sqref="X173:X186">
    <cfRule type="colorScale" priority="14">
      <colorScale>
        <cfvo type="min"/>
        <cfvo type="percentile" val="50"/>
        <cfvo type="max"/>
        <color rgb="FF63BE7B"/>
        <color rgb="FFFFEB84"/>
        <color rgb="FFF8696B"/>
      </colorScale>
    </cfRule>
  </conditionalFormatting>
  <conditionalFormatting sqref="Y173:Y186">
    <cfRule type="colorScale" priority="13">
      <colorScale>
        <cfvo type="min"/>
        <cfvo type="percentile" val="50"/>
        <cfvo type="max"/>
        <color rgb="FF63BE7B"/>
        <color rgb="FFFFEB84"/>
        <color rgb="FFF8696B"/>
      </colorScale>
    </cfRule>
  </conditionalFormatting>
  <conditionalFormatting sqref="T85:T98">
    <cfRule type="colorScale" priority="4">
      <colorScale>
        <cfvo type="min"/>
        <cfvo type="percentile" val="50"/>
        <cfvo type="max"/>
        <color rgb="FF63BE7B"/>
        <color rgb="FFFFEB84"/>
        <color rgb="FFF8696B"/>
      </colorScale>
    </cfRule>
  </conditionalFormatting>
  <conditionalFormatting sqref="U85:U98">
    <cfRule type="colorScale" priority="3">
      <colorScale>
        <cfvo type="min"/>
        <cfvo type="percentile" val="50"/>
        <cfvo type="max"/>
        <color rgb="FF63BE7B"/>
        <color rgb="FFFFEB84"/>
        <color rgb="FFF8696B"/>
      </colorScale>
    </cfRule>
  </conditionalFormatting>
  <conditionalFormatting sqref="X85:X98">
    <cfRule type="colorScale" priority="2">
      <colorScale>
        <cfvo type="min"/>
        <cfvo type="percentile" val="50"/>
        <cfvo type="max"/>
        <color rgb="FF63BE7B"/>
        <color rgb="FFFFEB84"/>
        <color rgb="FFF8696B"/>
      </colorScale>
    </cfRule>
  </conditionalFormatting>
  <conditionalFormatting sqref="Y85:Y98">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customHeight="1" zeroHeight="1" outlineLevelRow="1" outlineLevelCol="1"/>
  <cols>
    <col min="1" max="1" width="30.7109375" style="540" customWidth="1"/>
    <col min="2" max="2" width="9.140625" style="540" customWidth="1"/>
    <col min="3" max="15" width="1.7109375" style="540" hidden="1" customWidth="1" outlineLevel="1"/>
    <col min="16" max="16" width="9.140625" style="540" customWidth="1" collapsed="1"/>
    <col min="17" max="62" width="9.140625" style="540" customWidth="1"/>
    <col min="63" max="16384" width="9.140625" style="540" hidden="1"/>
  </cols>
  <sheetData>
    <row r="1" spans="1:61" ht="21">
      <c r="A1" s="4" t="s">
        <v>654</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40" t="str">
        <f>Indeksacja!$A$2</f>
        <v>Dla roku bazowego 2022 właściwe do zastosowania w analizie są wartości kosztów jednostkowych określone według poziomu cenowego z końca roku poprzedniego, tzn. 2021.</v>
      </c>
    </row>
    <row r="3" spans="1:61" ht="15" customHeight="1"/>
    <row r="4" spans="1:61">
      <c r="A4" s="1" t="str">
        <f>'VoT czas ładunki'!A4</f>
        <v>Parametry pociągów przyjęte do określenia kosztów jednostkowych</v>
      </c>
    </row>
    <row r="5" spans="1:61">
      <c r="A5" s="9" t="str">
        <f>'VoT czas ładunki'!A5:B5</f>
        <v>Typ pociągu towarowego</v>
      </c>
      <c r="B5" s="6"/>
      <c r="C5" s="6">
        <f>'VoT czas ładunki'!C5:D5</f>
        <v>0</v>
      </c>
      <c r="D5" s="6"/>
      <c r="E5" s="6"/>
      <c r="F5" s="6"/>
      <c r="G5" s="6"/>
      <c r="H5" s="6"/>
      <c r="I5" s="6"/>
      <c r="J5" s="6"/>
      <c r="K5" s="6"/>
      <c r="L5" s="6"/>
      <c r="M5" s="6"/>
      <c r="N5" s="6"/>
      <c r="O5" s="6"/>
      <c r="P5" s="729" t="str">
        <f>'VoT czas ładunki'!P5:Q5</f>
        <v>Pociąg blokowy (bezpośredni)</v>
      </c>
      <c r="Q5" s="730"/>
      <c r="R5" s="730">
        <f>'VoT czas ładunki'!R5:S5</f>
        <v>0</v>
      </c>
      <c r="S5" s="731"/>
      <c r="T5" s="729" t="str">
        <f>'VoT czas ładunki'!T5:U5</f>
        <v>Pociąg grupowy</v>
      </c>
      <c r="U5" s="730"/>
      <c r="V5" s="730">
        <f>'VoT czas ładunki'!V5:W5</f>
        <v>0</v>
      </c>
      <c r="W5" s="731"/>
      <c r="X5" s="729" t="str">
        <f>'VoT czas ładunki'!X5:Y5</f>
        <v>Pociąg kontenerowy, intermodalny</v>
      </c>
      <c r="Y5" s="730"/>
      <c r="Z5" s="730">
        <f>'VoT czas ładunki'!Z5:AA5</f>
        <v>0</v>
      </c>
      <c r="AA5" s="731"/>
    </row>
    <row r="6" spans="1:61">
      <c r="A6" s="9" t="str">
        <f>'VoT czas ładunki'!A6:B6</f>
        <v>Trakcja</v>
      </c>
      <c r="B6" s="6"/>
      <c r="C6" s="6">
        <f>'VoT czas ładunki'!C6:D6</f>
        <v>0</v>
      </c>
      <c r="D6" s="6"/>
      <c r="E6" s="6"/>
      <c r="F6" s="6"/>
      <c r="G6" s="6"/>
      <c r="H6" s="6"/>
      <c r="I6" s="6"/>
      <c r="J6" s="6"/>
      <c r="K6" s="6"/>
      <c r="L6" s="6"/>
      <c r="M6" s="6"/>
      <c r="N6" s="6"/>
      <c r="O6" s="6"/>
      <c r="P6" s="729" t="str">
        <f>'VoT czas ładunki'!P6:Q6</f>
        <v>elektryczna</v>
      </c>
      <c r="Q6" s="731"/>
      <c r="R6" s="729" t="str">
        <f>'VoT czas ładunki'!R6:S6</f>
        <v>spalinowa</v>
      </c>
      <c r="S6" s="731"/>
      <c r="T6" s="729" t="str">
        <f>'VoT czas ładunki'!T6:U6</f>
        <v>elektryczna</v>
      </c>
      <c r="U6" s="731"/>
      <c r="V6" s="729" t="str">
        <f>'VoT czas ładunki'!V6:W6</f>
        <v>spalinowa</v>
      </c>
      <c r="W6" s="731"/>
      <c r="X6" s="729" t="str">
        <f>'VoT czas ładunki'!X6:Y6</f>
        <v>elektryczna</v>
      </c>
      <c r="Y6" s="731"/>
      <c r="Z6" s="729" t="str">
        <f>'VoT czas ładunki'!Z6:AA6</f>
        <v>spalinowa</v>
      </c>
      <c r="AA6" s="731"/>
    </row>
    <row r="7" spans="1:61">
      <c r="A7" s="8" t="str">
        <f>'VoT czas ładunki'!A7</f>
        <v>Liczba wagonów</v>
      </c>
      <c r="B7" s="543" t="str">
        <f>'VoT czas ładunki'!B7</f>
        <v>[szt.]</v>
      </c>
      <c r="C7" s="90">
        <f>'VoT czas ładunki'!C7:D7</f>
        <v>0</v>
      </c>
      <c r="D7" s="90"/>
      <c r="E7" s="90"/>
      <c r="F7" s="90"/>
      <c r="G7" s="90"/>
      <c r="H7" s="90"/>
      <c r="I7" s="90"/>
      <c r="J7" s="90"/>
      <c r="K7" s="90"/>
      <c r="L7" s="90"/>
      <c r="M7" s="90"/>
      <c r="N7" s="90"/>
      <c r="O7" s="90"/>
      <c r="P7" s="738">
        <f>'VoT czas ładunki'!P7:Q7</f>
        <v>18</v>
      </c>
      <c r="Q7" s="739"/>
      <c r="R7" s="738">
        <f>'VoT czas ładunki'!R7:S7</f>
        <v>18</v>
      </c>
      <c r="S7" s="739"/>
      <c r="T7" s="738">
        <f>'VoT czas ładunki'!T7:U7</f>
        <v>18</v>
      </c>
      <c r="U7" s="739"/>
      <c r="V7" s="738">
        <f>'VoT czas ładunki'!V7:W7</f>
        <v>18</v>
      </c>
      <c r="W7" s="739"/>
      <c r="X7" s="738">
        <f>'VoT czas ładunki'!X7:Y7</f>
        <v>20</v>
      </c>
      <c r="Y7" s="739"/>
      <c r="Z7" s="738">
        <f>'VoT czas ładunki'!Z7:AA7</f>
        <v>20</v>
      </c>
      <c r="AA7" s="739"/>
    </row>
    <row r="8" spans="1:61">
      <c r="A8" s="8" t="str">
        <f>'VoT czas ładunki'!A8</f>
        <v>Masa całkowita pociągu brutto</v>
      </c>
      <c r="B8" s="543" t="str">
        <f>'VoT czas ładunki'!B8</f>
        <v>[t]</v>
      </c>
      <c r="C8" s="90">
        <f>'VoT czas ładunki'!C8:D8</f>
        <v>0</v>
      </c>
      <c r="D8" s="90"/>
      <c r="E8" s="90"/>
      <c r="F8" s="90"/>
      <c r="G8" s="90"/>
      <c r="H8" s="90"/>
      <c r="I8" s="90"/>
      <c r="J8" s="90"/>
      <c r="K8" s="90"/>
      <c r="L8" s="90"/>
      <c r="M8" s="90"/>
      <c r="N8" s="90"/>
      <c r="O8" s="90"/>
      <c r="P8" s="738">
        <f>'VoT czas ładunki'!P8:Q8</f>
        <v>1705</v>
      </c>
      <c r="Q8" s="739"/>
      <c r="R8" s="738">
        <f>'VoT czas ładunki'!R8:S8</f>
        <v>1733</v>
      </c>
      <c r="S8" s="739"/>
      <c r="T8" s="738">
        <f>'VoT czas ładunki'!T8:U8</f>
        <v>1705</v>
      </c>
      <c r="U8" s="739"/>
      <c r="V8" s="738">
        <f>'VoT czas ładunki'!V8:W8</f>
        <v>1733</v>
      </c>
      <c r="W8" s="739"/>
      <c r="X8" s="738">
        <f>'VoT czas ładunki'!X8:Y8</f>
        <v>1385</v>
      </c>
      <c r="Y8" s="739"/>
      <c r="Z8" s="738">
        <f>'VoT czas ładunki'!Z8:AA8</f>
        <v>1413</v>
      </c>
      <c r="AA8" s="739"/>
    </row>
    <row r="9" spans="1:61" ht="15" customHeight="1">
      <c r="A9" s="8" t="str">
        <f>'VoT czas ładunki'!A9</f>
        <v>Masa netto ładunku (ładowność)</v>
      </c>
      <c r="B9" s="543" t="str">
        <f>'VoT czas ładunki'!B9</f>
        <v>[t]</v>
      </c>
      <c r="C9" s="90">
        <f>'VoT czas ładunki'!C9:D9</f>
        <v>0</v>
      </c>
      <c r="D9" s="90"/>
      <c r="E9" s="90"/>
      <c r="F9" s="90"/>
      <c r="G9" s="90"/>
      <c r="H9" s="90"/>
      <c r="I9" s="90"/>
      <c r="J9" s="90"/>
      <c r="K9" s="90"/>
      <c r="L9" s="90"/>
      <c r="M9" s="90"/>
      <c r="N9" s="90"/>
      <c r="O9" s="90"/>
      <c r="P9" s="738">
        <f>'VoT czas ładunki'!P9:Q9</f>
        <v>1143</v>
      </c>
      <c r="Q9" s="739"/>
      <c r="R9" s="738">
        <f>'VoT czas ładunki'!R9:S9</f>
        <v>1143</v>
      </c>
      <c r="S9" s="739"/>
      <c r="T9" s="738">
        <f>'VoT czas ładunki'!T9:U9</f>
        <v>1143</v>
      </c>
      <c r="U9" s="739"/>
      <c r="V9" s="738">
        <f>'VoT czas ładunki'!V9:W9</f>
        <v>1143</v>
      </c>
      <c r="W9" s="739"/>
      <c r="X9" s="738">
        <f>'VoT czas ładunki'!X9:Y9</f>
        <v>750</v>
      </c>
      <c r="Y9" s="739"/>
      <c r="Z9" s="738">
        <f>'VoT czas ładunki'!Z9:AA9</f>
        <v>750</v>
      </c>
      <c r="AA9" s="739"/>
    </row>
    <row r="10" spans="1:61">
      <c r="A10" s="8" t="str">
        <f>'VoT czas ładunki'!A10</f>
        <v>Masa ładunku na wagon</v>
      </c>
      <c r="B10" s="543" t="str">
        <f>'VoT czas ładunki'!B10</f>
        <v>[t/wag]</v>
      </c>
      <c r="C10" s="90">
        <f>'VoT czas ładunki'!C10:D10</f>
        <v>0</v>
      </c>
      <c r="D10" s="90"/>
      <c r="E10" s="90"/>
      <c r="F10" s="90"/>
      <c r="G10" s="90"/>
      <c r="H10" s="90"/>
      <c r="I10" s="90"/>
      <c r="J10" s="90"/>
      <c r="K10" s="90"/>
      <c r="L10" s="90"/>
      <c r="M10" s="90"/>
      <c r="N10" s="90"/>
      <c r="O10" s="90"/>
      <c r="P10" s="727">
        <f>P9/P7</f>
        <v>63.5</v>
      </c>
      <c r="Q10" s="728"/>
      <c r="R10" s="727">
        <f>R9/R7</f>
        <v>63.5</v>
      </c>
      <c r="S10" s="728"/>
      <c r="T10" s="727">
        <f>T9/T7</f>
        <v>63.5</v>
      </c>
      <c r="U10" s="728"/>
      <c r="V10" s="727">
        <f>V9/V7</f>
        <v>63.5</v>
      </c>
      <c r="W10" s="728"/>
      <c r="X10" s="727">
        <f>X9/X7</f>
        <v>37.5</v>
      </c>
      <c r="Y10" s="728"/>
      <c r="Z10" s="727">
        <f>Z9/Z7</f>
        <v>37.5</v>
      </c>
      <c r="AA10" s="728"/>
    </row>
    <row r="11" spans="1:61">
      <c r="A11" s="35" t="str">
        <f>'VoT czas ładunki'!A11:B11</f>
        <v xml:space="preserve">Źródło: badanie przeprowadzone we Francji (CGSP, 2013) </v>
      </c>
      <c r="C11" s="540">
        <f>'VoT czas ładunki'!C11:D11</f>
        <v>0</v>
      </c>
    </row>
    <row r="12" spans="1:61" hidden="1" outlineLevel="1"/>
    <row r="13" spans="1:61" hidden="1" outlineLevel="1">
      <c r="A13" s="1" t="s">
        <v>655</v>
      </c>
    </row>
    <row r="14" spans="1:61" hidden="1" outlineLevel="1">
      <c r="A14" s="540" t="s">
        <v>582</v>
      </c>
    </row>
    <row r="15" spans="1:61" hidden="1" outlineLevel="1">
      <c r="A15" s="9" t="s">
        <v>348</v>
      </c>
      <c r="B15" s="6"/>
      <c r="C15" s="6"/>
      <c r="D15" s="6"/>
      <c r="E15" s="6"/>
      <c r="F15" s="6"/>
      <c r="G15" s="6"/>
      <c r="H15" s="6"/>
      <c r="I15" s="6"/>
      <c r="J15" s="6"/>
      <c r="K15" s="6"/>
      <c r="L15" s="6"/>
      <c r="M15" s="6"/>
      <c r="N15" s="6"/>
      <c r="O15" s="6"/>
      <c r="P15" s="729" t="s">
        <v>362</v>
      </c>
      <c r="Q15" s="730"/>
      <c r="R15" s="730"/>
      <c r="S15" s="731"/>
      <c r="T15" s="729" t="s">
        <v>363</v>
      </c>
      <c r="U15" s="730"/>
      <c r="V15" s="730"/>
      <c r="W15" s="731"/>
      <c r="X15" s="729" t="s">
        <v>364</v>
      </c>
      <c r="Y15" s="730"/>
      <c r="Z15" s="730"/>
      <c r="AA15" s="731"/>
    </row>
    <row r="16" spans="1:61" hidden="1" outlineLevel="1">
      <c r="A16" s="9" t="s">
        <v>345</v>
      </c>
      <c r="B16" s="6"/>
      <c r="C16" s="6"/>
      <c r="D16" s="6"/>
      <c r="E16" s="6"/>
      <c r="F16" s="6"/>
      <c r="G16" s="6"/>
      <c r="H16" s="6"/>
      <c r="I16" s="6"/>
      <c r="J16" s="6"/>
      <c r="K16" s="6"/>
      <c r="L16" s="6"/>
      <c r="M16" s="6"/>
      <c r="N16" s="6"/>
      <c r="O16" s="6"/>
      <c r="P16" s="729" t="s">
        <v>346</v>
      </c>
      <c r="Q16" s="731"/>
      <c r="R16" s="729" t="s">
        <v>347</v>
      </c>
      <c r="S16" s="731"/>
      <c r="T16" s="729" t="s">
        <v>346</v>
      </c>
      <c r="U16" s="731"/>
      <c r="V16" s="729" t="s">
        <v>347</v>
      </c>
      <c r="W16" s="731"/>
      <c r="X16" s="729" t="s">
        <v>346</v>
      </c>
      <c r="Y16" s="731"/>
      <c r="Z16" s="729" t="s">
        <v>347</v>
      </c>
      <c r="AA16" s="731"/>
    </row>
    <row r="17" spans="1:27" hidden="1" outlineLevel="1">
      <c r="A17" s="8" t="s">
        <v>80</v>
      </c>
      <c r="B17" s="90"/>
      <c r="C17" s="90"/>
      <c r="D17" s="90"/>
      <c r="E17" s="90"/>
      <c r="F17" s="90"/>
      <c r="G17" s="90"/>
      <c r="H17" s="90"/>
      <c r="I17" s="90"/>
      <c r="J17" s="90"/>
      <c r="K17" s="90"/>
      <c r="L17" s="90"/>
      <c r="M17" s="90"/>
      <c r="N17" s="90"/>
      <c r="O17" s="90"/>
      <c r="P17" s="727">
        <v>3.12</v>
      </c>
      <c r="Q17" s="728"/>
      <c r="R17" s="727">
        <v>4.3</v>
      </c>
      <c r="S17" s="728"/>
      <c r="T17" s="727">
        <v>3.12</v>
      </c>
      <c r="U17" s="728"/>
      <c r="V17" s="727">
        <v>4.3</v>
      </c>
      <c r="W17" s="728"/>
      <c r="X17" s="727">
        <v>3.12</v>
      </c>
      <c r="Y17" s="728"/>
      <c r="Z17" s="727">
        <v>4.3</v>
      </c>
      <c r="AA17" s="728"/>
    </row>
    <row r="18" spans="1:27" hidden="1" outlineLevel="1">
      <c r="A18" s="35" t="s">
        <v>584</v>
      </c>
    </row>
    <row r="19" spans="1:27" hidden="1" outlineLevel="1">
      <c r="A19" s="540" t="s">
        <v>656</v>
      </c>
    </row>
    <row r="20" spans="1:27" hidden="1" outlineLevel="1"/>
    <row r="21" spans="1:27" hidden="1" outlineLevel="1"/>
    <row r="22" spans="1:27" hidden="1" outlineLevel="1">
      <c r="A22" s="9" t="s">
        <v>2</v>
      </c>
      <c r="B22" s="6"/>
      <c r="C22" s="6"/>
      <c r="D22" s="6"/>
      <c r="E22" s="6"/>
      <c r="F22" s="6"/>
      <c r="G22" s="6"/>
      <c r="H22" s="6"/>
      <c r="I22" s="6"/>
      <c r="J22" s="6"/>
      <c r="K22" s="6"/>
      <c r="L22" s="6"/>
      <c r="M22" s="6"/>
      <c r="N22" s="6"/>
      <c r="O22" s="6"/>
      <c r="P22" s="6"/>
      <c r="Q22" s="6">
        <v>2010</v>
      </c>
    </row>
    <row r="23" spans="1:27" hidden="1" outlineLevel="1">
      <c r="A23" s="8" t="s">
        <v>3</v>
      </c>
      <c r="B23" s="12"/>
      <c r="C23" s="12"/>
      <c r="D23" s="12"/>
      <c r="E23" s="12"/>
      <c r="F23" s="12"/>
      <c r="G23" s="12"/>
      <c r="H23" s="12"/>
      <c r="I23" s="12"/>
      <c r="J23" s="12"/>
      <c r="K23" s="12"/>
      <c r="L23" s="12"/>
      <c r="M23" s="12"/>
      <c r="N23" s="12"/>
      <c r="O23" s="12"/>
      <c r="P23" s="12"/>
      <c r="Q23" s="11">
        <f>Indeksacja!$K$41</f>
        <v>3.9946999999999999</v>
      </c>
    </row>
    <row r="24" spans="1:27" hidden="1" outlineLevel="1">
      <c r="A24" s="35" t="str">
        <f>Indeksacja!$A$42</f>
        <v>Źródło: ECB, http://sdw.ecb.europa.eu/quickview.do?SERIES_KEY=120.EXR.A.PLN.EUR.SP00.A</v>
      </c>
    </row>
    <row r="25" spans="1:27" hidden="1" outlineLevel="1"/>
    <row r="26" spans="1:27" ht="30" hidden="1" outlineLevel="1">
      <c r="A26" s="150" t="s">
        <v>589</v>
      </c>
      <c r="B26" s="6"/>
      <c r="C26" s="6"/>
      <c r="D26" s="6"/>
      <c r="E26" s="6"/>
      <c r="F26" s="6"/>
      <c r="G26" s="6"/>
      <c r="H26" s="6"/>
      <c r="I26" s="6"/>
      <c r="J26" s="6"/>
      <c r="K26" s="6"/>
      <c r="L26" s="6"/>
      <c r="M26" s="6"/>
      <c r="N26" s="6"/>
      <c r="O26" s="6"/>
      <c r="P26" s="6"/>
      <c r="Q26" s="6">
        <v>2010</v>
      </c>
    </row>
    <row r="27" spans="1:27" hidden="1" outlineLevel="1">
      <c r="A27" s="8" t="s">
        <v>80</v>
      </c>
      <c r="B27" s="503"/>
      <c r="C27" s="503"/>
      <c r="D27" s="503"/>
      <c r="E27" s="503"/>
      <c r="F27" s="503"/>
      <c r="G27" s="503"/>
      <c r="H27" s="503"/>
      <c r="I27" s="503"/>
      <c r="J27" s="503"/>
      <c r="K27" s="503"/>
      <c r="L27" s="503"/>
      <c r="M27" s="503"/>
      <c r="N27" s="503"/>
      <c r="O27" s="503"/>
      <c r="P27" s="503"/>
      <c r="Q27" s="489">
        <f>Indeksacja!$K$44</f>
        <v>62.4</v>
      </c>
    </row>
    <row r="28" spans="1:27" hidden="1" outlineLevel="1">
      <c r="A28" s="35" t="str">
        <f>Indeksacja!$A$45</f>
        <v>Źródło: Eurostat, https://ec.europa.eu/eurostat/data/database Main GDP aggregates per capita [nama_10_pc] (aktualizacja 28.01.2022)</v>
      </c>
    </row>
    <row r="29" spans="1:27" s="613" customFormat="1" hidden="1" outlineLevel="1">
      <c r="A29" s="91"/>
    </row>
    <row r="30" spans="1:27" s="613" customFormat="1" hidden="1" outlineLevel="1">
      <c r="A30" s="749" t="str">
        <f>'VoT czas ładunki'!$A$41</f>
        <v xml:space="preserve">Wyjaśnienie w sprawie przeliczenia wyjściowych wartości kosztów jednostkowych z zastosowaniem kursu walutowego PLN/EUR oraz PKB Polski per capita w jednostkach siły nabywczej (PPS): </v>
      </c>
      <c r="B30" s="749"/>
      <c r="C30" s="749"/>
      <c r="D30" s="749"/>
      <c r="E30" s="749"/>
      <c r="F30" s="749"/>
      <c r="G30" s="749"/>
      <c r="H30" s="749"/>
      <c r="I30" s="749"/>
      <c r="J30" s="749"/>
      <c r="K30" s="749"/>
      <c r="L30" s="749"/>
      <c r="M30" s="749"/>
      <c r="N30" s="749"/>
      <c r="O30" s="749"/>
      <c r="P30" s="749"/>
      <c r="Q30" s="749"/>
      <c r="R30" s="749"/>
      <c r="S30" s="749"/>
      <c r="T30" s="749"/>
      <c r="U30" s="749"/>
      <c r="V30" s="749"/>
    </row>
    <row r="31" spans="1:27" s="694" customFormat="1" hidden="1" outlineLevel="1">
      <c r="A31" s="749"/>
      <c r="B31" s="749"/>
      <c r="C31" s="749"/>
      <c r="D31" s="749"/>
      <c r="E31" s="749"/>
      <c r="F31" s="749"/>
      <c r="G31" s="749"/>
      <c r="H31" s="749"/>
      <c r="I31" s="749"/>
      <c r="J31" s="749"/>
      <c r="K31" s="749"/>
      <c r="L31" s="749"/>
      <c r="M31" s="749"/>
      <c r="N31" s="749"/>
      <c r="O31" s="749"/>
      <c r="P31" s="749"/>
      <c r="Q31" s="749"/>
      <c r="R31" s="749"/>
      <c r="S31" s="749"/>
      <c r="T31" s="749"/>
      <c r="U31" s="749"/>
      <c r="V31" s="749"/>
    </row>
    <row r="32" spans="1:27" s="613" customFormat="1" hidden="1" outlineLevel="1">
      <c r="A32" s="536" t="s">
        <v>531</v>
      </c>
    </row>
    <row r="33" spans="1:61" ht="15" customHeight="1" collapsed="1"/>
    <row r="34" spans="1:61">
      <c r="A34" s="9" t="s">
        <v>312</v>
      </c>
      <c r="B34" s="6"/>
      <c r="C34" s="6"/>
      <c r="D34" s="6"/>
      <c r="E34" s="6"/>
      <c r="F34" s="6"/>
      <c r="G34" s="6"/>
      <c r="H34" s="6"/>
      <c r="I34" s="6"/>
      <c r="J34" s="6"/>
      <c r="K34" s="6"/>
      <c r="L34" s="6"/>
      <c r="M34" s="6"/>
      <c r="N34" s="6"/>
      <c r="O34" s="6"/>
      <c r="P34" s="6"/>
      <c r="Q34" s="6"/>
      <c r="R34" s="202"/>
      <c r="S34" s="523" t="s">
        <v>532</v>
      </c>
      <c r="T34" s="542">
        <v>2019</v>
      </c>
      <c r="U34" s="6">
        <f t="shared" ref="U34:BI34" si="0">T34+1</f>
        <v>2020</v>
      </c>
      <c r="V34" s="6">
        <f t="shared" si="0"/>
        <v>2021</v>
      </c>
      <c r="W34" s="6">
        <f t="shared" si="0"/>
        <v>2022</v>
      </c>
      <c r="X34" s="6">
        <f t="shared" si="0"/>
        <v>2023</v>
      </c>
      <c r="Y34" s="6">
        <f t="shared" si="0"/>
        <v>2024</v>
      </c>
      <c r="Z34" s="6">
        <f t="shared" si="0"/>
        <v>2025</v>
      </c>
      <c r="AA34" s="6">
        <f t="shared" si="0"/>
        <v>2026</v>
      </c>
      <c r="AB34" s="6">
        <f t="shared" si="0"/>
        <v>2027</v>
      </c>
      <c r="AC34" s="6">
        <f t="shared" si="0"/>
        <v>2028</v>
      </c>
      <c r="AD34" s="6">
        <f t="shared" si="0"/>
        <v>2029</v>
      </c>
      <c r="AE34" s="6">
        <f t="shared" si="0"/>
        <v>2030</v>
      </c>
      <c r="AF34" s="6">
        <f t="shared" si="0"/>
        <v>2031</v>
      </c>
      <c r="AG34" s="6">
        <f t="shared" si="0"/>
        <v>2032</v>
      </c>
      <c r="AH34" s="6">
        <f t="shared" si="0"/>
        <v>2033</v>
      </c>
      <c r="AI34" s="6">
        <f t="shared" si="0"/>
        <v>2034</v>
      </c>
      <c r="AJ34" s="6">
        <f t="shared" si="0"/>
        <v>2035</v>
      </c>
      <c r="AK34" s="6">
        <f t="shared" si="0"/>
        <v>2036</v>
      </c>
      <c r="AL34" s="6">
        <f t="shared" si="0"/>
        <v>2037</v>
      </c>
      <c r="AM34" s="6">
        <f t="shared" si="0"/>
        <v>2038</v>
      </c>
      <c r="AN34" s="6">
        <f t="shared" si="0"/>
        <v>2039</v>
      </c>
      <c r="AO34" s="6">
        <f t="shared" si="0"/>
        <v>2040</v>
      </c>
      <c r="AP34" s="6">
        <f t="shared" si="0"/>
        <v>2041</v>
      </c>
      <c r="AQ34" s="6">
        <f t="shared" si="0"/>
        <v>2042</v>
      </c>
      <c r="AR34" s="6">
        <f t="shared" si="0"/>
        <v>2043</v>
      </c>
      <c r="AS34" s="6">
        <f t="shared" si="0"/>
        <v>2044</v>
      </c>
      <c r="AT34" s="6">
        <f t="shared" si="0"/>
        <v>2045</v>
      </c>
      <c r="AU34" s="6">
        <f t="shared" si="0"/>
        <v>2046</v>
      </c>
      <c r="AV34" s="6">
        <f t="shared" si="0"/>
        <v>2047</v>
      </c>
      <c r="AW34" s="6">
        <f t="shared" si="0"/>
        <v>2048</v>
      </c>
      <c r="AX34" s="6">
        <f t="shared" si="0"/>
        <v>2049</v>
      </c>
      <c r="AY34" s="6">
        <f t="shared" si="0"/>
        <v>2050</v>
      </c>
      <c r="AZ34" s="6">
        <f t="shared" si="0"/>
        <v>2051</v>
      </c>
      <c r="BA34" s="6">
        <f t="shared" si="0"/>
        <v>2052</v>
      </c>
      <c r="BB34" s="6">
        <f t="shared" si="0"/>
        <v>2053</v>
      </c>
      <c r="BC34" s="6">
        <f t="shared" si="0"/>
        <v>2054</v>
      </c>
      <c r="BD34" s="6">
        <f t="shared" si="0"/>
        <v>2055</v>
      </c>
      <c r="BE34" s="6">
        <f t="shared" si="0"/>
        <v>2056</v>
      </c>
      <c r="BF34" s="6">
        <f t="shared" si="0"/>
        <v>2057</v>
      </c>
      <c r="BG34" s="6">
        <f t="shared" si="0"/>
        <v>2058</v>
      </c>
      <c r="BH34" s="6">
        <f t="shared" si="0"/>
        <v>2059</v>
      </c>
      <c r="BI34" s="6">
        <f t="shared" si="0"/>
        <v>2060</v>
      </c>
    </row>
    <row r="35" spans="1:61" ht="30">
      <c r="A35" s="8" t="s">
        <v>5</v>
      </c>
      <c r="B35" s="13"/>
      <c r="C35" s="13"/>
      <c r="D35" s="13"/>
      <c r="E35" s="13"/>
      <c r="F35" s="13"/>
      <c r="G35" s="13"/>
      <c r="H35" s="13"/>
      <c r="I35" s="13"/>
      <c r="J35" s="13"/>
      <c r="K35" s="13"/>
      <c r="L35" s="13"/>
      <c r="M35" s="13"/>
      <c r="N35" s="13"/>
      <c r="O35" s="13"/>
      <c r="P35" s="13"/>
      <c r="Q35" s="13"/>
      <c r="R35" s="13"/>
      <c r="S35" s="204">
        <f>Indeksacja!L$6/100*Indeksacja!M$6/100*Indeksacja!N$6/100*Indeksacja!O$6/100*Indeksacja!P$6/100*Indeksacja!Q$6/100*Indeksacja!R$6/100*Indeksacja!S$6/100</f>
        <v>1.1140588927290365</v>
      </c>
      <c r="T35" s="207">
        <f>Indeksacja!T$6/100</f>
        <v>1.0229999999999999</v>
      </c>
      <c r="U35" s="130">
        <f>Indeksacja!U$6/100</f>
        <v>1.034</v>
      </c>
      <c r="V35" s="130">
        <f>Indeksacja!V$6/100</f>
        <v>1.0509999999999999</v>
      </c>
      <c r="W35" s="19">
        <v>1</v>
      </c>
      <c r="X35" s="19">
        <v>1</v>
      </c>
      <c r="Y35" s="19">
        <v>1</v>
      </c>
      <c r="Z35" s="19">
        <v>1</v>
      </c>
      <c r="AA35" s="19">
        <v>1</v>
      </c>
      <c r="AB35" s="19">
        <v>1</v>
      </c>
      <c r="AC35" s="19">
        <v>1</v>
      </c>
      <c r="AD35" s="19">
        <v>1</v>
      </c>
      <c r="AE35" s="19">
        <v>1</v>
      </c>
      <c r="AF35" s="19">
        <v>1</v>
      </c>
      <c r="AG35" s="19">
        <v>1</v>
      </c>
      <c r="AH35" s="19">
        <v>1</v>
      </c>
      <c r="AI35" s="19">
        <v>1</v>
      </c>
      <c r="AJ35" s="19">
        <v>1</v>
      </c>
      <c r="AK35" s="19">
        <v>1</v>
      </c>
      <c r="AL35" s="19">
        <v>1</v>
      </c>
      <c r="AM35" s="19">
        <v>1</v>
      </c>
      <c r="AN35" s="19">
        <v>1</v>
      </c>
      <c r="AO35" s="19">
        <v>1</v>
      </c>
      <c r="AP35" s="19">
        <v>1</v>
      </c>
      <c r="AQ35" s="19">
        <v>1</v>
      </c>
      <c r="AR35" s="19">
        <v>1</v>
      </c>
      <c r="AS35" s="19">
        <v>1</v>
      </c>
      <c r="AT35" s="19">
        <v>1</v>
      </c>
      <c r="AU35" s="19">
        <v>1</v>
      </c>
      <c r="AV35" s="19">
        <v>1</v>
      </c>
      <c r="AW35" s="19">
        <v>1</v>
      </c>
      <c r="AX35" s="19">
        <v>1</v>
      </c>
      <c r="AY35" s="19">
        <v>1</v>
      </c>
      <c r="AZ35" s="19">
        <v>1</v>
      </c>
      <c r="BA35" s="19">
        <v>1</v>
      </c>
      <c r="BB35" s="19">
        <v>1</v>
      </c>
      <c r="BC35" s="19">
        <v>1</v>
      </c>
      <c r="BD35" s="19">
        <v>1</v>
      </c>
      <c r="BE35" s="19">
        <v>1</v>
      </c>
      <c r="BF35" s="19">
        <v>1</v>
      </c>
      <c r="BG35" s="19">
        <v>1</v>
      </c>
      <c r="BH35" s="19">
        <v>1</v>
      </c>
      <c r="BI35" s="19">
        <v>1</v>
      </c>
    </row>
    <row r="36" spans="1:61" ht="15" customHeight="1">
      <c r="A36" s="540" t="str">
        <f>'VoT czas ładunki'!$A$47</f>
        <v xml:space="preserve">(s) W roku 2018 uwzględniono wartość wskaźnika skumulowaną od 2011. </v>
      </c>
    </row>
    <row r="37" spans="1:61" s="613" customFormat="1" ht="15" customHeight="1"/>
    <row r="38" spans="1:61" ht="15" customHeight="1"/>
    <row r="39" spans="1:61">
      <c r="A39" s="720" t="s">
        <v>657</v>
      </c>
      <c r="B39" s="720"/>
      <c r="C39" s="720"/>
      <c r="D39" s="720"/>
      <c r="E39" s="720"/>
      <c r="F39" s="720"/>
      <c r="G39" s="720"/>
      <c r="H39" s="720"/>
      <c r="I39" s="720"/>
      <c r="J39" s="720"/>
      <c r="K39" s="720"/>
      <c r="L39" s="720"/>
      <c r="M39" s="720"/>
      <c r="N39" s="720"/>
      <c r="O39" s="720"/>
      <c r="P39" s="720"/>
      <c r="Q39" s="720"/>
      <c r="R39" s="720"/>
      <c r="S39" s="720"/>
      <c r="T39" s="720"/>
      <c r="U39" s="720"/>
      <c r="V39" s="720"/>
    </row>
    <row r="40" spans="1:61" s="613" customFormat="1">
      <c r="A40" s="720"/>
      <c r="B40" s="720"/>
      <c r="C40" s="720"/>
      <c r="D40" s="720"/>
      <c r="E40" s="720"/>
      <c r="F40" s="720"/>
      <c r="G40" s="720"/>
      <c r="H40" s="720"/>
      <c r="I40" s="720"/>
      <c r="J40" s="720"/>
      <c r="K40" s="720"/>
      <c r="L40" s="720"/>
      <c r="M40" s="720"/>
      <c r="N40" s="720"/>
      <c r="O40" s="720"/>
      <c r="P40" s="720"/>
      <c r="Q40" s="720"/>
      <c r="R40" s="720"/>
      <c r="S40" s="720"/>
      <c r="T40" s="720"/>
      <c r="U40" s="720"/>
      <c r="V40" s="720"/>
    </row>
    <row r="41" spans="1:61">
      <c r="A41" s="540" t="s">
        <v>582</v>
      </c>
    </row>
    <row r="42" spans="1:61">
      <c r="A42" s="718"/>
      <c r="B42" s="685" t="s">
        <v>328</v>
      </c>
      <c r="C42" s="671"/>
      <c r="D42" s="671"/>
      <c r="E42" s="671"/>
      <c r="F42" s="671"/>
      <c r="G42" s="671"/>
      <c r="H42" s="671"/>
      <c r="I42" s="671"/>
      <c r="J42" s="671"/>
      <c r="K42" s="671"/>
      <c r="L42" s="671"/>
      <c r="M42" s="671"/>
      <c r="N42" s="671"/>
      <c r="O42" s="671"/>
      <c r="P42" s="674"/>
      <c r="Q42" s="6"/>
      <c r="R42" s="6"/>
      <c r="S42" s="6"/>
      <c r="T42" s="6">
        <v>2020</v>
      </c>
      <c r="U42" s="6">
        <f>T42+1</f>
        <v>2021</v>
      </c>
      <c r="V42" s="6">
        <f t="shared" ref="V42:AK42" si="1">U42+1</f>
        <v>2022</v>
      </c>
      <c r="W42" s="6">
        <f t="shared" si="1"/>
        <v>2023</v>
      </c>
      <c r="X42" s="6">
        <f t="shared" si="1"/>
        <v>2024</v>
      </c>
      <c r="Y42" s="6">
        <f t="shared" si="1"/>
        <v>2025</v>
      </c>
      <c r="Z42" s="6">
        <f t="shared" si="1"/>
        <v>2026</v>
      </c>
      <c r="AA42" s="6">
        <f t="shared" si="1"/>
        <v>2027</v>
      </c>
      <c r="AB42" s="6">
        <f t="shared" si="1"/>
        <v>2028</v>
      </c>
      <c r="AC42" s="6">
        <f t="shared" si="1"/>
        <v>2029</v>
      </c>
      <c r="AD42" s="6">
        <f t="shared" si="1"/>
        <v>2030</v>
      </c>
      <c r="AE42" s="6">
        <f t="shared" si="1"/>
        <v>2031</v>
      </c>
      <c r="AF42" s="6">
        <f t="shared" si="1"/>
        <v>2032</v>
      </c>
      <c r="AG42" s="6">
        <f t="shared" si="1"/>
        <v>2033</v>
      </c>
      <c r="AH42" s="6">
        <f t="shared" si="1"/>
        <v>2034</v>
      </c>
      <c r="AI42" s="6">
        <f t="shared" si="1"/>
        <v>2035</v>
      </c>
      <c r="AJ42" s="6">
        <f t="shared" si="1"/>
        <v>2036</v>
      </c>
      <c r="AK42" s="6">
        <f t="shared" si="1"/>
        <v>2037</v>
      </c>
      <c r="AL42" s="6">
        <f t="shared" ref="AL42:BA42" si="2">AK42+1</f>
        <v>2038</v>
      </c>
      <c r="AM42" s="6">
        <f t="shared" si="2"/>
        <v>2039</v>
      </c>
      <c r="AN42" s="6">
        <f t="shared" si="2"/>
        <v>2040</v>
      </c>
      <c r="AO42" s="6">
        <f t="shared" si="2"/>
        <v>2041</v>
      </c>
      <c r="AP42" s="6">
        <f t="shared" si="2"/>
        <v>2042</v>
      </c>
      <c r="AQ42" s="6">
        <f t="shared" si="2"/>
        <v>2043</v>
      </c>
      <c r="AR42" s="6">
        <f t="shared" si="2"/>
        <v>2044</v>
      </c>
      <c r="AS42" s="6">
        <f t="shared" si="2"/>
        <v>2045</v>
      </c>
      <c r="AT42" s="6">
        <f t="shared" si="2"/>
        <v>2046</v>
      </c>
      <c r="AU42" s="6">
        <f t="shared" si="2"/>
        <v>2047</v>
      </c>
      <c r="AV42" s="6">
        <f t="shared" si="2"/>
        <v>2048</v>
      </c>
      <c r="AW42" s="6">
        <f t="shared" si="2"/>
        <v>2049</v>
      </c>
      <c r="AX42" s="6">
        <f t="shared" si="2"/>
        <v>2050</v>
      </c>
      <c r="AY42" s="6">
        <f t="shared" si="2"/>
        <v>2051</v>
      </c>
      <c r="AZ42" s="6">
        <f t="shared" si="2"/>
        <v>2052</v>
      </c>
      <c r="BA42" s="6">
        <f t="shared" si="2"/>
        <v>2053</v>
      </c>
      <c r="BB42" s="6">
        <f t="shared" ref="BB42:BI42" si="3">BA42+1</f>
        <v>2054</v>
      </c>
      <c r="BC42" s="6">
        <f t="shared" si="3"/>
        <v>2055</v>
      </c>
      <c r="BD42" s="6">
        <f t="shared" si="3"/>
        <v>2056</v>
      </c>
      <c r="BE42" s="6">
        <f t="shared" si="3"/>
        <v>2057</v>
      </c>
      <c r="BF42" s="6">
        <f t="shared" si="3"/>
        <v>2058</v>
      </c>
      <c r="BG42" s="6">
        <f t="shared" si="3"/>
        <v>2059</v>
      </c>
      <c r="BH42" s="6">
        <f t="shared" si="3"/>
        <v>2060</v>
      </c>
      <c r="BI42" s="6">
        <f t="shared" si="3"/>
        <v>2061</v>
      </c>
    </row>
    <row r="43" spans="1:61">
      <c r="A43" s="719"/>
      <c r="B43" s="686" t="s">
        <v>530</v>
      </c>
      <c r="C43" s="681"/>
      <c r="D43" s="681"/>
      <c r="E43" s="681"/>
      <c r="F43" s="681"/>
      <c r="G43" s="681"/>
      <c r="H43" s="681"/>
      <c r="I43" s="681"/>
      <c r="J43" s="681"/>
      <c r="K43" s="681"/>
      <c r="L43" s="681"/>
      <c r="M43" s="681"/>
      <c r="N43" s="681"/>
      <c r="O43" s="681"/>
      <c r="P43" s="687"/>
      <c r="Q43" s="683">
        <f>DATE(2016,12,31)</f>
        <v>42735</v>
      </c>
      <c r="R43" s="683">
        <f>DATE(YEAR(Q43+1),12,31)</f>
        <v>43100</v>
      </c>
      <c r="S43" s="683">
        <f t="shared" ref="S43" si="4">DATE(YEAR(R43+1),12,31)</f>
        <v>43465</v>
      </c>
      <c r="T43" s="683">
        <f>DATE(YEAR(S43+1),12,31)</f>
        <v>43830</v>
      </c>
      <c r="U43" s="683">
        <f t="shared" ref="U43:BI43" si="5">DATE(YEAR(T43+1),12,31)</f>
        <v>44196</v>
      </c>
      <c r="V43" s="683">
        <f t="shared" si="5"/>
        <v>44561</v>
      </c>
      <c r="W43" s="683">
        <f t="shared" si="5"/>
        <v>44926</v>
      </c>
      <c r="X43" s="683">
        <f t="shared" si="5"/>
        <v>45291</v>
      </c>
      <c r="Y43" s="683">
        <f t="shared" si="5"/>
        <v>45657</v>
      </c>
      <c r="Z43" s="683">
        <f t="shared" si="5"/>
        <v>46022</v>
      </c>
      <c r="AA43" s="683">
        <f t="shared" si="5"/>
        <v>46387</v>
      </c>
      <c r="AB43" s="683">
        <f t="shared" si="5"/>
        <v>46752</v>
      </c>
      <c r="AC43" s="683">
        <f t="shared" si="5"/>
        <v>47118</v>
      </c>
      <c r="AD43" s="683">
        <f t="shared" si="5"/>
        <v>47483</v>
      </c>
      <c r="AE43" s="683">
        <f t="shared" si="5"/>
        <v>47848</v>
      </c>
      <c r="AF43" s="683">
        <f t="shared" si="5"/>
        <v>48213</v>
      </c>
      <c r="AG43" s="683">
        <f t="shared" si="5"/>
        <v>48579</v>
      </c>
      <c r="AH43" s="683">
        <f t="shared" si="5"/>
        <v>48944</v>
      </c>
      <c r="AI43" s="683">
        <f t="shared" si="5"/>
        <v>49309</v>
      </c>
      <c r="AJ43" s="683">
        <f t="shared" si="5"/>
        <v>49674</v>
      </c>
      <c r="AK43" s="683">
        <f t="shared" si="5"/>
        <v>50040</v>
      </c>
      <c r="AL43" s="683">
        <f t="shared" si="5"/>
        <v>50405</v>
      </c>
      <c r="AM43" s="683">
        <f t="shared" si="5"/>
        <v>50770</v>
      </c>
      <c r="AN43" s="683">
        <f t="shared" si="5"/>
        <v>51135</v>
      </c>
      <c r="AO43" s="683">
        <f t="shared" si="5"/>
        <v>51501</v>
      </c>
      <c r="AP43" s="683">
        <f t="shared" si="5"/>
        <v>51866</v>
      </c>
      <c r="AQ43" s="683">
        <f t="shared" si="5"/>
        <v>52231</v>
      </c>
      <c r="AR43" s="683">
        <f t="shared" si="5"/>
        <v>52596</v>
      </c>
      <c r="AS43" s="683">
        <f t="shared" si="5"/>
        <v>52962</v>
      </c>
      <c r="AT43" s="683">
        <f t="shared" si="5"/>
        <v>53327</v>
      </c>
      <c r="AU43" s="683">
        <f t="shared" si="5"/>
        <v>53692</v>
      </c>
      <c r="AV43" s="683">
        <f t="shared" si="5"/>
        <v>54057</v>
      </c>
      <c r="AW43" s="683">
        <f t="shared" si="5"/>
        <v>54423</v>
      </c>
      <c r="AX43" s="683">
        <f t="shared" si="5"/>
        <v>54788</v>
      </c>
      <c r="AY43" s="683">
        <f t="shared" si="5"/>
        <v>55153</v>
      </c>
      <c r="AZ43" s="683">
        <f t="shared" si="5"/>
        <v>55518</v>
      </c>
      <c r="BA43" s="683">
        <f t="shared" si="5"/>
        <v>55884</v>
      </c>
      <c r="BB43" s="683">
        <f t="shared" si="5"/>
        <v>56249</v>
      </c>
      <c r="BC43" s="683">
        <f t="shared" si="5"/>
        <v>56614</v>
      </c>
      <c r="BD43" s="683">
        <f t="shared" si="5"/>
        <v>56979</v>
      </c>
      <c r="BE43" s="683">
        <f t="shared" si="5"/>
        <v>57345</v>
      </c>
      <c r="BF43" s="683">
        <f t="shared" si="5"/>
        <v>57710</v>
      </c>
      <c r="BG43" s="683">
        <f t="shared" si="5"/>
        <v>58075</v>
      </c>
      <c r="BH43" s="683">
        <f t="shared" si="5"/>
        <v>58440</v>
      </c>
      <c r="BI43" s="683">
        <f t="shared" si="5"/>
        <v>58806</v>
      </c>
    </row>
    <row r="44" spans="1:61" ht="30">
      <c r="A44" s="8" t="s">
        <v>365</v>
      </c>
      <c r="B44" s="129" t="s">
        <v>48</v>
      </c>
      <c r="C44" s="13"/>
      <c r="D44" s="13"/>
      <c r="E44" s="13"/>
      <c r="F44" s="13"/>
      <c r="G44" s="13"/>
      <c r="H44" s="13"/>
      <c r="I44" s="13"/>
      <c r="J44" s="13"/>
      <c r="K44" s="13"/>
      <c r="L44" s="13"/>
      <c r="M44" s="13"/>
      <c r="N44" s="13"/>
      <c r="O44" s="13"/>
      <c r="P44" s="13"/>
      <c r="Q44" s="93"/>
      <c r="R44" s="93"/>
      <c r="S44" s="204">
        <f>$P$17*$Q$23*$Q$27/100*$S$35</f>
        <v>8.6642605317267218</v>
      </c>
      <c r="T44" s="207">
        <f>S44*T$35</f>
        <v>8.8635385239564357</v>
      </c>
      <c r="U44" s="10">
        <f>T44*U$35</f>
        <v>9.1648988337709554</v>
      </c>
      <c r="V44" s="10">
        <f t="shared" ref="V44:BI49" si="6">U44*V$35</f>
        <v>9.6323086742932738</v>
      </c>
      <c r="W44" s="10">
        <f t="shared" si="6"/>
        <v>9.6323086742932738</v>
      </c>
      <c r="X44" s="10">
        <f t="shared" si="6"/>
        <v>9.6323086742932738</v>
      </c>
      <c r="Y44" s="10">
        <f t="shared" si="6"/>
        <v>9.6323086742932738</v>
      </c>
      <c r="Z44" s="10">
        <f t="shared" si="6"/>
        <v>9.6323086742932738</v>
      </c>
      <c r="AA44" s="10">
        <f t="shared" si="6"/>
        <v>9.6323086742932738</v>
      </c>
      <c r="AB44" s="10">
        <f t="shared" si="6"/>
        <v>9.6323086742932738</v>
      </c>
      <c r="AC44" s="10">
        <f t="shared" si="6"/>
        <v>9.6323086742932738</v>
      </c>
      <c r="AD44" s="10">
        <f t="shared" si="6"/>
        <v>9.6323086742932738</v>
      </c>
      <c r="AE44" s="10">
        <f t="shared" si="6"/>
        <v>9.6323086742932738</v>
      </c>
      <c r="AF44" s="10">
        <f t="shared" si="6"/>
        <v>9.6323086742932738</v>
      </c>
      <c r="AG44" s="10">
        <f t="shared" si="6"/>
        <v>9.6323086742932738</v>
      </c>
      <c r="AH44" s="10">
        <f t="shared" si="6"/>
        <v>9.6323086742932738</v>
      </c>
      <c r="AI44" s="10">
        <f t="shared" si="6"/>
        <v>9.6323086742932738</v>
      </c>
      <c r="AJ44" s="10">
        <f t="shared" si="6"/>
        <v>9.6323086742932738</v>
      </c>
      <c r="AK44" s="10">
        <f t="shared" si="6"/>
        <v>9.6323086742932738</v>
      </c>
      <c r="AL44" s="10">
        <f t="shared" si="6"/>
        <v>9.6323086742932738</v>
      </c>
      <c r="AM44" s="10">
        <f t="shared" si="6"/>
        <v>9.6323086742932738</v>
      </c>
      <c r="AN44" s="10">
        <f t="shared" si="6"/>
        <v>9.6323086742932738</v>
      </c>
      <c r="AO44" s="10">
        <f t="shared" si="6"/>
        <v>9.6323086742932738</v>
      </c>
      <c r="AP44" s="10">
        <f t="shared" si="6"/>
        <v>9.6323086742932738</v>
      </c>
      <c r="AQ44" s="10">
        <f t="shared" si="6"/>
        <v>9.6323086742932738</v>
      </c>
      <c r="AR44" s="10">
        <f t="shared" si="6"/>
        <v>9.6323086742932738</v>
      </c>
      <c r="AS44" s="10">
        <f t="shared" si="6"/>
        <v>9.6323086742932738</v>
      </c>
      <c r="AT44" s="10">
        <f t="shared" si="6"/>
        <v>9.6323086742932738</v>
      </c>
      <c r="AU44" s="10">
        <f t="shared" si="6"/>
        <v>9.6323086742932738</v>
      </c>
      <c r="AV44" s="10">
        <f t="shared" si="6"/>
        <v>9.6323086742932738</v>
      </c>
      <c r="AW44" s="10">
        <f t="shared" si="6"/>
        <v>9.6323086742932738</v>
      </c>
      <c r="AX44" s="10">
        <f t="shared" si="6"/>
        <v>9.6323086742932738</v>
      </c>
      <c r="AY44" s="10">
        <f t="shared" si="6"/>
        <v>9.6323086742932738</v>
      </c>
      <c r="AZ44" s="10">
        <f t="shared" si="6"/>
        <v>9.6323086742932738</v>
      </c>
      <c r="BA44" s="10">
        <f t="shared" si="6"/>
        <v>9.6323086742932738</v>
      </c>
      <c r="BB44" s="10">
        <f t="shared" si="6"/>
        <v>9.6323086742932738</v>
      </c>
      <c r="BC44" s="10">
        <f t="shared" si="6"/>
        <v>9.6323086742932738</v>
      </c>
      <c r="BD44" s="10">
        <f t="shared" si="6"/>
        <v>9.6323086742932738</v>
      </c>
      <c r="BE44" s="10">
        <f t="shared" si="6"/>
        <v>9.6323086742932738</v>
      </c>
      <c r="BF44" s="10">
        <f t="shared" si="6"/>
        <v>9.6323086742932738</v>
      </c>
      <c r="BG44" s="10">
        <f t="shared" si="6"/>
        <v>9.6323086742932738</v>
      </c>
      <c r="BH44" s="10">
        <f t="shared" si="6"/>
        <v>9.6323086742932738</v>
      </c>
      <c r="BI44" s="10">
        <f t="shared" si="6"/>
        <v>9.6323086742932738</v>
      </c>
    </row>
    <row r="45" spans="1:61" ht="30">
      <c r="A45" s="8" t="s">
        <v>366</v>
      </c>
      <c r="B45" s="129" t="s">
        <v>48</v>
      </c>
      <c r="C45" s="13"/>
      <c r="D45" s="13"/>
      <c r="E45" s="13"/>
      <c r="F45" s="13"/>
      <c r="G45" s="13"/>
      <c r="H45" s="13"/>
      <c r="I45" s="13"/>
      <c r="J45" s="13"/>
      <c r="K45" s="13"/>
      <c r="L45" s="13"/>
      <c r="M45" s="13"/>
      <c r="N45" s="13"/>
      <c r="O45" s="13"/>
      <c r="P45" s="13"/>
      <c r="Q45" s="93"/>
      <c r="R45" s="93"/>
      <c r="S45" s="204">
        <f>$R$17*$Q$23*$Q$27/100*$S$35</f>
        <v>11.941128296931058</v>
      </c>
      <c r="T45" s="207">
        <f t="shared" ref="T45:AJ49" si="7">S45*T$35</f>
        <v>12.215774247760471</v>
      </c>
      <c r="U45" s="10">
        <f t="shared" si="7"/>
        <v>12.631110572184328</v>
      </c>
      <c r="V45" s="10">
        <f t="shared" si="7"/>
        <v>13.275297211365729</v>
      </c>
      <c r="W45" s="10">
        <f t="shared" si="7"/>
        <v>13.275297211365729</v>
      </c>
      <c r="X45" s="10">
        <f t="shared" si="7"/>
        <v>13.275297211365729</v>
      </c>
      <c r="Y45" s="10">
        <f t="shared" si="7"/>
        <v>13.275297211365729</v>
      </c>
      <c r="Z45" s="10">
        <f t="shared" si="7"/>
        <v>13.275297211365729</v>
      </c>
      <c r="AA45" s="10">
        <f t="shared" si="7"/>
        <v>13.275297211365729</v>
      </c>
      <c r="AB45" s="10">
        <f t="shared" si="7"/>
        <v>13.275297211365729</v>
      </c>
      <c r="AC45" s="10">
        <f t="shared" si="7"/>
        <v>13.275297211365729</v>
      </c>
      <c r="AD45" s="10">
        <f t="shared" si="7"/>
        <v>13.275297211365729</v>
      </c>
      <c r="AE45" s="10">
        <f t="shared" si="7"/>
        <v>13.275297211365729</v>
      </c>
      <c r="AF45" s="10">
        <f t="shared" si="7"/>
        <v>13.275297211365729</v>
      </c>
      <c r="AG45" s="10">
        <f t="shared" si="7"/>
        <v>13.275297211365729</v>
      </c>
      <c r="AH45" s="10">
        <f t="shared" si="7"/>
        <v>13.275297211365729</v>
      </c>
      <c r="AI45" s="10">
        <f t="shared" si="7"/>
        <v>13.275297211365729</v>
      </c>
      <c r="AJ45" s="10">
        <f t="shared" si="7"/>
        <v>13.275297211365729</v>
      </c>
      <c r="AK45" s="10">
        <f t="shared" si="6"/>
        <v>13.275297211365729</v>
      </c>
      <c r="AL45" s="10">
        <f t="shared" si="6"/>
        <v>13.275297211365729</v>
      </c>
      <c r="AM45" s="10">
        <f t="shared" si="6"/>
        <v>13.275297211365729</v>
      </c>
      <c r="AN45" s="10">
        <f t="shared" si="6"/>
        <v>13.275297211365729</v>
      </c>
      <c r="AO45" s="10">
        <f t="shared" si="6"/>
        <v>13.275297211365729</v>
      </c>
      <c r="AP45" s="10">
        <f t="shared" si="6"/>
        <v>13.275297211365729</v>
      </c>
      <c r="AQ45" s="10">
        <f t="shared" si="6"/>
        <v>13.275297211365729</v>
      </c>
      <c r="AR45" s="10">
        <f t="shared" si="6"/>
        <v>13.275297211365729</v>
      </c>
      <c r="AS45" s="10">
        <f t="shared" si="6"/>
        <v>13.275297211365729</v>
      </c>
      <c r="AT45" s="10">
        <f t="shared" si="6"/>
        <v>13.275297211365729</v>
      </c>
      <c r="AU45" s="10">
        <f t="shared" si="6"/>
        <v>13.275297211365729</v>
      </c>
      <c r="AV45" s="10">
        <f t="shared" si="6"/>
        <v>13.275297211365729</v>
      </c>
      <c r="AW45" s="10">
        <f t="shared" si="6"/>
        <v>13.275297211365729</v>
      </c>
      <c r="AX45" s="10">
        <f t="shared" si="6"/>
        <v>13.275297211365729</v>
      </c>
      <c r="AY45" s="10">
        <f t="shared" si="6"/>
        <v>13.275297211365729</v>
      </c>
      <c r="AZ45" s="10">
        <f t="shared" si="6"/>
        <v>13.275297211365729</v>
      </c>
      <c r="BA45" s="10">
        <f t="shared" si="6"/>
        <v>13.275297211365729</v>
      </c>
      <c r="BB45" s="10">
        <f t="shared" si="6"/>
        <v>13.275297211365729</v>
      </c>
      <c r="BC45" s="10">
        <f t="shared" si="6"/>
        <v>13.275297211365729</v>
      </c>
      <c r="BD45" s="10">
        <f t="shared" si="6"/>
        <v>13.275297211365729</v>
      </c>
      <c r="BE45" s="10">
        <f t="shared" si="6"/>
        <v>13.275297211365729</v>
      </c>
      <c r="BF45" s="10">
        <f t="shared" si="6"/>
        <v>13.275297211365729</v>
      </c>
      <c r="BG45" s="10">
        <f t="shared" si="6"/>
        <v>13.275297211365729</v>
      </c>
      <c r="BH45" s="10">
        <f t="shared" si="6"/>
        <v>13.275297211365729</v>
      </c>
      <c r="BI45" s="10">
        <f t="shared" si="6"/>
        <v>13.275297211365729</v>
      </c>
    </row>
    <row r="46" spans="1:61" ht="30">
      <c r="A46" s="8" t="s">
        <v>367</v>
      </c>
      <c r="B46" s="129" t="s">
        <v>48</v>
      </c>
      <c r="C46" s="13"/>
      <c r="D46" s="13"/>
      <c r="E46" s="13"/>
      <c r="F46" s="13"/>
      <c r="G46" s="13"/>
      <c r="H46" s="13"/>
      <c r="I46" s="13"/>
      <c r="J46" s="13"/>
      <c r="K46" s="13"/>
      <c r="L46" s="13"/>
      <c r="M46" s="13"/>
      <c r="N46" s="13"/>
      <c r="O46" s="13"/>
      <c r="P46" s="13"/>
      <c r="Q46" s="93"/>
      <c r="R46" s="93"/>
      <c r="S46" s="204">
        <f>$T$17*$Q$23*$Q$27/100*$S$35</f>
        <v>8.6642605317267218</v>
      </c>
      <c r="T46" s="207">
        <f t="shared" si="7"/>
        <v>8.8635385239564357</v>
      </c>
      <c r="U46" s="10">
        <f t="shared" si="7"/>
        <v>9.1648988337709554</v>
      </c>
      <c r="V46" s="10">
        <f t="shared" si="6"/>
        <v>9.6323086742932738</v>
      </c>
      <c r="W46" s="10">
        <f t="shared" si="6"/>
        <v>9.6323086742932738</v>
      </c>
      <c r="X46" s="10">
        <f t="shared" si="6"/>
        <v>9.6323086742932738</v>
      </c>
      <c r="Y46" s="10">
        <f t="shared" si="6"/>
        <v>9.6323086742932738</v>
      </c>
      <c r="Z46" s="10">
        <f t="shared" si="6"/>
        <v>9.6323086742932738</v>
      </c>
      <c r="AA46" s="10">
        <f t="shared" si="6"/>
        <v>9.6323086742932738</v>
      </c>
      <c r="AB46" s="10">
        <f t="shared" si="6"/>
        <v>9.6323086742932738</v>
      </c>
      <c r="AC46" s="10">
        <f t="shared" si="6"/>
        <v>9.6323086742932738</v>
      </c>
      <c r="AD46" s="10">
        <f t="shared" si="6"/>
        <v>9.6323086742932738</v>
      </c>
      <c r="AE46" s="10">
        <f t="shared" si="6"/>
        <v>9.6323086742932738</v>
      </c>
      <c r="AF46" s="10">
        <f t="shared" si="6"/>
        <v>9.6323086742932738</v>
      </c>
      <c r="AG46" s="10">
        <f t="shared" si="6"/>
        <v>9.6323086742932738</v>
      </c>
      <c r="AH46" s="10">
        <f t="shared" si="6"/>
        <v>9.6323086742932738</v>
      </c>
      <c r="AI46" s="10">
        <f t="shared" si="6"/>
        <v>9.6323086742932738</v>
      </c>
      <c r="AJ46" s="10">
        <f t="shared" si="6"/>
        <v>9.6323086742932738</v>
      </c>
      <c r="AK46" s="10">
        <f t="shared" si="6"/>
        <v>9.6323086742932738</v>
      </c>
      <c r="AL46" s="10">
        <f t="shared" si="6"/>
        <v>9.6323086742932738</v>
      </c>
      <c r="AM46" s="10">
        <f t="shared" si="6"/>
        <v>9.6323086742932738</v>
      </c>
      <c r="AN46" s="10">
        <f t="shared" si="6"/>
        <v>9.6323086742932738</v>
      </c>
      <c r="AO46" s="10">
        <f t="shared" si="6"/>
        <v>9.6323086742932738</v>
      </c>
      <c r="AP46" s="10">
        <f t="shared" si="6"/>
        <v>9.6323086742932738</v>
      </c>
      <c r="AQ46" s="10">
        <f t="shared" si="6"/>
        <v>9.6323086742932738</v>
      </c>
      <c r="AR46" s="10">
        <f t="shared" si="6"/>
        <v>9.6323086742932738</v>
      </c>
      <c r="AS46" s="10">
        <f t="shared" si="6"/>
        <v>9.6323086742932738</v>
      </c>
      <c r="AT46" s="10">
        <f t="shared" si="6"/>
        <v>9.6323086742932738</v>
      </c>
      <c r="AU46" s="10">
        <f t="shared" si="6"/>
        <v>9.6323086742932738</v>
      </c>
      <c r="AV46" s="10">
        <f t="shared" si="6"/>
        <v>9.6323086742932738</v>
      </c>
      <c r="AW46" s="10">
        <f t="shared" si="6"/>
        <v>9.6323086742932738</v>
      </c>
      <c r="AX46" s="10">
        <f t="shared" si="6"/>
        <v>9.6323086742932738</v>
      </c>
      <c r="AY46" s="10">
        <f t="shared" si="6"/>
        <v>9.6323086742932738</v>
      </c>
      <c r="AZ46" s="10">
        <f t="shared" si="6"/>
        <v>9.6323086742932738</v>
      </c>
      <c r="BA46" s="10">
        <f t="shared" si="6"/>
        <v>9.6323086742932738</v>
      </c>
      <c r="BB46" s="10">
        <f t="shared" si="6"/>
        <v>9.6323086742932738</v>
      </c>
      <c r="BC46" s="10">
        <f t="shared" si="6"/>
        <v>9.6323086742932738</v>
      </c>
      <c r="BD46" s="10">
        <f t="shared" si="6"/>
        <v>9.6323086742932738</v>
      </c>
      <c r="BE46" s="10">
        <f t="shared" si="6"/>
        <v>9.6323086742932738</v>
      </c>
      <c r="BF46" s="10">
        <f t="shared" si="6"/>
        <v>9.6323086742932738</v>
      </c>
      <c r="BG46" s="10">
        <f t="shared" si="6"/>
        <v>9.6323086742932738</v>
      </c>
      <c r="BH46" s="10">
        <f t="shared" si="6"/>
        <v>9.6323086742932738</v>
      </c>
      <c r="BI46" s="10">
        <f t="shared" si="6"/>
        <v>9.6323086742932738</v>
      </c>
    </row>
    <row r="47" spans="1:61" ht="30">
      <c r="A47" s="8" t="s">
        <v>368</v>
      </c>
      <c r="B47" s="129" t="s">
        <v>48</v>
      </c>
      <c r="C47" s="13"/>
      <c r="D47" s="13"/>
      <c r="E47" s="13"/>
      <c r="F47" s="13"/>
      <c r="G47" s="13"/>
      <c r="H47" s="13"/>
      <c r="I47" s="13"/>
      <c r="J47" s="13"/>
      <c r="K47" s="13"/>
      <c r="L47" s="13"/>
      <c r="M47" s="13"/>
      <c r="N47" s="13"/>
      <c r="O47" s="13"/>
      <c r="P47" s="13"/>
      <c r="Q47" s="93"/>
      <c r="R47" s="93"/>
      <c r="S47" s="204">
        <f>$V$17*$Q$23*$Q$27/100*$S$35</f>
        <v>11.941128296931058</v>
      </c>
      <c r="T47" s="207">
        <f t="shared" si="7"/>
        <v>12.215774247760471</v>
      </c>
      <c r="U47" s="10">
        <f t="shared" si="7"/>
        <v>12.631110572184328</v>
      </c>
      <c r="V47" s="10">
        <f t="shared" si="7"/>
        <v>13.275297211365729</v>
      </c>
      <c r="W47" s="10">
        <f t="shared" si="7"/>
        <v>13.275297211365729</v>
      </c>
      <c r="X47" s="10">
        <f t="shared" si="7"/>
        <v>13.275297211365729</v>
      </c>
      <c r="Y47" s="10">
        <f t="shared" si="7"/>
        <v>13.275297211365729</v>
      </c>
      <c r="Z47" s="10">
        <f t="shared" si="7"/>
        <v>13.275297211365729</v>
      </c>
      <c r="AA47" s="10">
        <f t="shared" si="7"/>
        <v>13.275297211365729</v>
      </c>
      <c r="AB47" s="10">
        <f t="shared" si="7"/>
        <v>13.275297211365729</v>
      </c>
      <c r="AC47" s="10">
        <f t="shared" si="7"/>
        <v>13.275297211365729</v>
      </c>
      <c r="AD47" s="10">
        <f t="shared" si="7"/>
        <v>13.275297211365729</v>
      </c>
      <c r="AE47" s="10">
        <f t="shared" si="7"/>
        <v>13.275297211365729</v>
      </c>
      <c r="AF47" s="10">
        <f t="shared" si="7"/>
        <v>13.275297211365729</v>
      </c>
      <c r="AG47" s="10">
        <f t="shared" si="7"/>
        <v>13.275297211365729</v>
      </c>
      <c r="AH47" s="10">
        <f t="shared" si="7"/>
        <v>13.275297211365729</v>
      </c>
      <c r="AI47" s="10">
        <f t="shared" si="7"/>
        <v>13.275297211365729</v>
      </c>
      <c r="AJ47" s="10">
        <f t="shared" si="6"/>
        <v>13.275297211365729</v>
      </c>
      <c r="AK47" s="10">
        <f t="shared" si="6"/>
        <v>13.275297211365729</v>
      </c>
      <c r="AL47" s="10">
        <f t="shared" si="6"/>
        <v>13.275297211365729</v>
      </c>
      <c r="AM47" s="10">
        <f t="shared" si="6"/>
        <v>13.275297211365729</v>
      </c>
      <c r="AN47" s="10">
        <f t="shared" si="6"/>
        <v>13.275297211365729</v>
      </c>
      <c r="AO47" s="10">
        <f t="shared" si="6"/>
        <v>13.275297211365729</v>
      </c>
      <c r="AP47" s="10">
        <f t="shared" si="6"/>
        <v>13.275297211365729</v>
      </c>
      <c r="AQ47" s="10">
        <f t="shared" si="6"/>
        <v>13.275297211365729</v>
      </c>
      <c r="AR47" s="10">
        <f t="shared" si="6"/>
        <v>13.275297211365729</v>
      </c>
      <c r="AS47" s="10">
        <f t="shared" si="6"/>
        <v>13.275297211365729</v>
      </c>
      <c r="AT47" s="10">
        <f t="shared" si="6"/>
        <v>13.275297211365729</v>
      </c>
      <c r="AU47" s="10">
        <f t="shared" si="6"/>
        <v>13.275297211365729</v>
      </c>
      <c r="AV47" s="10">
        <f t="shared" si="6"/>
        <v>13.275297211365729</v>
      </c>
      <c r="AW47" s="10">
        <f t="shared" si="6"/>
        <v>13.275297211365729</v>
      </c>
      <c r="AX47" s="10">
        <f t="shared" si="6"/>
        <v>13.275297211365729</v>
      </c>
      <c r="AY47" s="10">
        <f t="shared" si="6"/>
        <v>13.275297211365729</v>
      </c>
      <c r="AZ47" s="10">
        <f t="shared" si="6"/>
        <v>13.275297211365729</v>
      </c>
      <c r="BA47" s="10">
        <f t="shared" si="6"/>
        <v>13.275297211365729</v>
      </c>
      <c r="BB47" s="10">
        <f t="shared" si="6"/>
        <v>13.275297211365729</v>
      </c>
      <c r="BC47" s="10">
        <f t="shared" si="6"/>
        <v>13.275297211365729</v>
      </c>
      <c r="BD47" s="10">
        <f t="shared" si="6"/>
        <v>13.275297211365729</v>
      </c>
      <c r="BE47" s="10">
        <f t="shared" si="6"/>
        <v>13.275297211365729</v>
      </c>
      <c r="BF47" s="10">
        <f t="shared" si="6"/>
        <v>13.275297211365729</v>
      </c>
      <c r="BG47" s="10">
        <f t="shared" si="6"/>
        <v>13.275297211365729</v>
      </c>
      <c r="BH47" s="10">
        <f t="shared" si="6"/>
        <v>13.275297211365729</v>
      </c>
      <c r="BI47" s="10">
        <f t="shared" si="6"/>
        <v>13.275297211365729</v>
      </c>
    </row>
    <row r="48" spans="1:61" ht="45">
      <c r="A48" s="8" t="s">
        <v>369</v>
      </c>
      <c r="B48" s="129" t="s">
        <v>48</v>
      </c>
      <c r="C48" s="13"/>
      <c r="D48" s="13"/>
      <c r="E48" s="13"/>
      <c r="F48" s="13"/>
      <c r="G48" s="13"/>
      <c r="H48" s="13"/>
      <c r="I48" s="13"/>
      <c r="J48" s="13"/>
      <c r="K48" s="13"/>
      <c r="L48" s="13"/>
      <c r="M48" s="13"/>
      <c r="N48" s="13"/>
      <c r="O48" s="13"/>
      <c r="P48" s="13"/>
      <c r="Q48" s="93"/>
      <c r="R48" s="93"/>
      <c r="S48" s="204">
        <f>$X$17*$Q$23*$Q$27/100*$S$35</f>
        <v>8.6642605317267218</v>
      </c>
      <c r="T48" s="207">
        <f t="shared" si="7"/>
        <v>8.8635385239564357</v>
      </c>
      <c r="U48" s="10">
        <f t="shared" si="7"/>
        <v>9.1648988337709554</v>
      </c>
      <c r="V48" s="10">
        <f t="shared" si="7"/>
        <v>9.6323086742932738</v>
      </c>
      <c r="W48" s="10">
        <f t="shared" si="7"/>
        <v>9.6323086742932738</v>
      </c>
      <c r="X48" s="10">
        <f t="shared" si="7"/>
        <v>9.6323086742932738</v>
      </c>
      <c r="Y48" s="10">
        <f t="shared" si="7"/>
        <v>9.6323086742932738</v>
      </c>
      <c r="Z48" s="10">
        <f t="shared" si="7"/>
        <v>9.6323086742932738</v>
      </c>
      <c r="AA48" s="10">
        <f t="shared" si="7"/>
        <v>9.6323086742932738</v>
      </c>
      <c r="AB48" s="10">
        <f t="shared" si="7"/>
        <v>9.6323086742932738</v>
      </c>
      <c r="AC48" s="10">
        <f t="shared" si="7"/>
        <v>9.6323086742932738</v>
      </c>
      <c r="AD48" s="10">
        <f t="shared" si="7"/>
        <v>9.6323086742932738</v>
      </c>
      <c r="AE48" s="10">
        <f t="shared" si="7"/>
        <v>9.6323086742932738</v>
      </c>
      <c r="AF48" s="10">
        <f t="shared" si="7"/>
        <v>9.6323086742932738</v>
      </c>
      <c r="AG48" s="10">
        <f t="shared" si="7"/>
        <v>9.6323086742932738</v>
      </c>
      <c r="AH48" s="10">
        <f t="shared" si="7"/>
        <v>9.6323086742932738</v>
      </c>
      <c r="AI48" s="10">
        <f t="shared" si="7"/>
        <v>9.6323086742932738</v>
      </c>
      <c r="AJ48" s="10">
        <f t="shared" si="6"/>
        <v>9.6323086742932738</v>
      </c>
      <c r="AK48" s="10">
        <f t="shared" si="6"/>
        <v>9.6323086742932738</v>
      </c>
      <c r="AL48" s="10">
        <f t="shared" si="6"/>
        <v>9.6323086742932738</v>
      </c>
      <c r="AM48" s="10">
        <f t="shared" si="6"/>
        <v>9.6323086742932738</v>
      </c>
      <c r="AN48" s="10">
        <f t="shared" si="6"/>
        <v>9.6323086742932738</v>
      </c>
      <c r="AO48" s="10">
        <f t="shared" si="6"/>
        <v>9.6323086742932738</v>
      </c>
      <c r="AP48" s="10">
        <f t="shared" si="6"/>
        <v>9.6323086742932738</v>
      </c>
      <c r="AQ48" s="10">
        <f t="shared" si="6"/>
        <v>9.6323086742932738</v>
      </c>
      <c r="AR48" s="10">
        <f t="shared" si="6"/>
        <v>9.6323086742932738</v>
      </c>
      <c r="AS48" s="10">
        <f t="shared" si="6"/>
        <v>9.6323086742932738</v>
      </c>
      <c r="AT48" s="10">
        <f t="shared" si="6"/>
        <v>9.6323086742932738</v>
      </c>
      <c r="AU48" s="10">
        <f t="shared" si="6"/>
        <v>9.6323086742932738</v>
      </c>
      <c r="AV48" s="10">
        <f t="shared" si="6"/>
        <v>9.6323086742932738</v>
      </c>
      <c r="AW48" s="10">
        <f t="shared" si="6"/>
        <v>9.6323086742932738</v>
      </c>
      <c r="AX48" s="10">
        <f t="shared" si="6"/>
        <v>9.6323086742932738</v>
      </c>
      <c r="AY48" s="10">
        <f t="shared" si="6"/>
        <v>9.6323086742932738</v>
      </c>
      <c r="AZ48" s="10">
        <f t="shared" si="6"/>
        <v>9.6323086742932738</v>
      </c>
      <c r="BA48" s="10">
        <f t="shared" si="6"/>
        <v>9.6323086742932738</v>
      </c>
      <c r="BB48" s="10">
        <f t="shared" si="6"/>
        <v>9.6323086742932738</v>
      </c>
      <c r="BC48" s="10">
        <f t="shared" si="6"/>
        <v>9.6323086742932738</v>
      </c>
      <c r="BD48" s="10">
        <f t="shared" si="6"/>
        <v>9.6323086742932738</v>
      </c>
      <c r="BE48" s="10">
        <f t="shared" si="6"/>
        <v>9.6323086742932738</v>
      </c>
      <c r="BF48" s="10">
        <f t="shared" si="6"/>
        <v>9.6323086742932738</v>
      </c>
      <c r="BG48" s="10">
        <f t="shared" si="6"/>
        <v>9.6323086742932738</v>
      </c>
      <c r="BH48" s="10">
        <f t="shared" si="6"/>
        <v>9.6323086742932738</v>
      </c>
      <c r="BI48" s="10">
        <f t="shared" si="6"/>
        <v>9.6323086742932738</v>
      </c>
    </row>
    <row r="49" spans="1:61" ht="45">
      <c r="A49" s="8" t="s">
        <v>370</v>
      </c>
      <c r="B49" s="129" t="s">
        <v>48</v>
      </c>
      <c r="C49" s="13"/>
      <c r="D49" s="13"/>
      <c r="E49" s="13"/>
      <c r="F49" s="13"/>
      <c r="G49" s="13"/>
      <c r="H49" s="13"/>
      <c r="I49" s="13"/>
      <c r="J49" s="13"/>
      <c r="K49" s="13"/>
      <c r="L49" s="13"/>
      <c r="M49" s="13"/>
      <c r="N49" s="13"/>
      <c r="O49" s="13"/>
      <c r="P49" s="13"/>
      <c r="Q49" s="93"/>
      <c r="R49" s="93"/>
      <c r="S49" s="204">
        <f>$Z$17*$Q$23*$Q$27/100*$S$35</f>
        <v>11.941128296931058</v>
      </c>
      <c r="T49" s="207">
        <f t="shared" si="7"/>
        <v>12.215774247760471</v>
      </c>
      <c r="U49" s="10">
        <f t="shared" si="7"/>
        <v>12.631110572184328</v>
      </c>
      <c r="V49" s="10">
        <f t="shared" si="7"/>
        <v>13.275297211365729</v>
      </c>
      <c r="W49" s="10">
        <f t="shared" si="7"/>
        <v>13.275297211365729</v>
      </c>
      <c r="X49" s="10">
        <f t="shared" si="7"/>
        <v>13.275297211365729</v>
      </c>
      <c r="Y49" s="10">
        <f t="shared" si="7"/>
        <v>13.275297211365729</v>
      </c>
      <c r="Z49" s="10">
        <f t="shared" si="7"/>
        <v>13.275297211365729</v>
      </c>
      <c r="AA49" s="10">
        <f t="shared" si="7"/>
        <v>13.275297211365729</v>
      </c>
      <c r="AB49" s="10">
        <f t="shared" si="7"/>
        <v>13.275297211365729</v>
      </c>
      <c r="AC49" s="10">
        <f t="shared" si="7"/>
        <v>13.275297211365729</v>
      </c>
      <c r="AD49" s="10">
        <f t="shared" si="7"/>
        <v>13.275297211365729</v>
      </c>
      <c r="AE49" s="10">
        <f t="shared" si="7"/>
        <v>13.275297211365729</v>
      </c>
      <c r="AF49" s="10">
        <f t="shared" si="7"/>
        <v>13.275297211365729</v>
      </c>
      <c r="AG49" s="10">
        <f t="shared" si="7"/>
        <v>13.275297211365729</v>
      </c>
      <c r="AH49" s="10">
        <f t="shared" si="7"/>
        <v>13.275297211365729</v>
      </c>
      <c r="AI49" s="10">
        <f t="shared" si="7"/>
        <v>13.275297211365729</v>
      </c>
      <c r="AJ49" s="10">
        <f t="shared" si="6"/>
        <v>13.275297211365729</v>
      </c>
      <c r="AK49" s="10">
        <f t="shared" si="6"/>
        <v>13.275297211365729</v>
      </c>
      <c r="AL49" s="10">
        <f t="shared" si="6"/>
        <v>13.275297211365729</v>
      </c>
      <c r="AM49" s="10">
        <f t="shared" si="6"/>
        <v>13.275297211365729</v>
      </c>
      <c r="AN49" s="10">
        <f t="shared" si="6"/>
        <v>13.275297211365729</v>
      </c>
      <c r="AO49" s="10">
        <f t="shared" si="6"/>
        <v>13.275297211365729</v>
      </c>
      <c r="AP49" s="10">
        <f t="shared" si="6"/>
        <v>13.275297211365729</v>
      </c>
      <c r="AQ49" s="10">
        <f t="shared" si="6"/>
        <v>13.275297211365729</v>
      </c>
      <c r="AR49" s="10">
        <f t="shared" si="6"/>
        <v>13.275297211365729</v>
      </c>
      <c r="AS49" s="10">
        <f t="shared" si="6"/>
        <v>13.275297211365729</v>
      </c>
      <c r="AT49" s="10">
        <f t="shared" si="6"/>
        <v>13.275297211365729</v>
      </c>
      <c r="AU49" s="10">
        <f t="shared" si="6"/>
        <v>13.275297211365729</v>
      </c>
      <c r="AV49" s="10">
        <f t="shared" si="6"/>
        <v>13.275297211365729</v>
      </c>
      <c r="AW49" s="10">
        <f t="shared" si="6"/>
        <v>13.275297211365729</v>
      </c>
      <c r="AX49" s="10">
        <f t="shared" si="6"/>
        <v>13.275297211365729</v>
      </c>
      <c r="AY49" s="10">
        <f t="shared" si="6"/>
        <v>13.275297211365729</v>
      </c>
      <c r="AZ49" s="10">
        <f t="shared" si="6"/>
        <v>13.275297211365729</v>
      </c>
      <c r="BA49" s="10">
        <f t="shared" si="6"/>
        <v>13.275297211365729</v>
      </c>
      <c r="BB49" s="10">
        <f t="shared" si="6"/>
        <v>13.275297211365729</v>
      </c>
      <c r="BC49" s="10">
        <f t="shared" si="6"/>
        <v>13.275297211365729</v>
      </c>
      <c r="BD49" s="10">
        <f t="shared" si="6"/>
        <v>13.275297211365729</v>
      </c>
      <c r="BE49" s="10">
        <f t="shared" si="6"/>
        <v>13.275297211365729</v>
      </c>
      <c r="BF49" s="10">
        <f t="shared" si="6"/>
        <v>13.275297211365729</v>
      </c>
      <c r="BG49" s="10">
        <f t="shared" si="6"/>
        <v>13.275297211365729</v>
      </c>
      <c r="BH49" s="10">
        <f t="shared" si="6"/>
        <v>13.275297211365729</v>
      </c>
      <c r="BI49" s="10">
        <f t="shared" si="6"/>
        <v>13.275297211365729</v>
      </c>
    </row>
    <row r="50" spans="1:61" ht="15" customHeight="1">
      <c r="A50" s="9" t="s">
        <v>536</v>
      </c>
      <c r="B50" s="6"/>
      <c r="C50" s="6"/>
      <c r="D50" s="6"/>
      <c r="E50" s="6"/>
      <c r="F50" s="6"/>
      <c r="G50" s="6"/>
      <c r="H50" s="6"/>
      <c r="I50" s="6"/>
      <c r="J50" s="6"/>
      <c r="K50" s="6"/>
      <c r="L50" s="6"/>
      <c r="M50" s="6"/>
      <c r="N50" s="6"/>
      <c r="O50" s="6"/>
      <c r="P50" s="6"/>
      <c r="Q50" s="6"/>
      <c r="R50" s="202"/>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ht="30">
      <c r="A51" s="8" t="str">
        <f>A44</f>
        <v>Pociąg blokowy (bezpośredni), 
trakcja elektryczna</v>
      </c>
      <c r="B51" s="129" t="s">
        <v>537</v>
      </c>
      <c r="C51" s="13"/>
      <c r="D51" s="13"/>
      <c r="E51" s="13"/>
      <c r="F51" s="13"/>
      <c r="G51" s="13"/>
      <c r="H51" s="13"/>
      <c r="I51" s="13"/>
      <c r="J51" s="13"/>
      <c r="K51" s="13"/>
      <c r="L51" s="13"/>
      <c r="M51" s="13"/>
      <c r="N51" s="13"/>
      <c r="O51" s="13"/>
      <c r="P51" s="13"/>
      <c r="Q51" s="93"/>
      <c r="R51" s="93"/>
      <c r="S51" s="10">
        <f>S44/$P$9</f>
        <v>7.5802804302071061E-3</v>
      </c>
      <c r="T51" s="10">
        <f t="shared" ref="T51:BI51" si="8">T44/$P$9</f>
        <v>7.7546268801018687E-3</v>
      </c>
      <c r="U51" s="10">
        <f t="shared" si="8"/>
        <v>8.0182841940253328E-3</v>
      </c>
      <c r="V51" s="10">
        <f t="shared" si="8"/>
        <v>8.4272166879206245E-3</v>
      </c>
      <c r="W51" s="10">
        <f t="shared" si="8"/>
        <v>8.4272166879206245E-3</v>
      </c>
      <c r="X51" s="10">
        <f t="shared" si="8"/>
        <v>8.4272166879206245E-3</v>
      </c>
      <c r="Y51" s="10">
        <f t="shared" si="8"/>
        <v>8.4272166879206245E-3</v>
      </c>
      <c r="Z51" s="10">
        <f t="shared" si="8"/>
        <v>8.4272166879206245E-3</v>
      </c>
      <c r="AA51" s="10">
        <f t="shared" si="8"/>
        <v>8.4272166879206245E-3</v>
      </c>
      <c r="AB51" s="10">
        <f t="shared" si="8"/>
        <v>8.4272166879206245E-3</v>
      </c>
      <c r="AC51" s="10">
        <f t="shared" si="8"/>
        <v>8.4272166879206245E-3</v>
      </c>
      <c r="AD51" s="10">
        <f t="shared" si="8"/>
        <v>8.4272166879206245E-3</v>
      </c>
      <c r="AE51" s="10">
        <f t="shared" si="8"/>
        <v>8.4272166879206245E-3</v>
      </c>
      <c r="AF51" s="10">
        <f t="shared" si="8"/>
        <v>8.4272166879206245E-3</v>
      </c>
      <c r="AG51" s="10">
        <f t="shared" si="8"/>
        <v>8.4272166879206245E-3</v>
      </c>
      <c r="AH51" s="10">
        <f t="shared" si="8"/>
        <v>8.4272166879206245E-3</v>
      </c>
      <c r="AI51" s="10">
        <f t="shared" si="8"/>
        <v>8.4272166879206245E-3</v>
      </c>
      <c r="AJ51" s="10">
        <f t="shared" si="8"/>
        <v>8.4272166879206245E-3</v>
      </c>
      <c r="AK51" s="10">
        <f t="shared" si="8"/>
        <v>8.4272166879206245E-3</v>
      </c>
      <c r="AL51" s="10">
        <f t="shared" si="8"/>
        <v>8.4272166879206245E-3</v>
      </c>
      <c r="AM51" s="10">
        <f t="shared" si="8"/>
        <v>8.4272166879206245E-3</v>
      </c>
      <c r="AN51" s="10">
        <f t="shared" si="8"/>
        <v>8.4272166879206245E-3</v>
      </c>
      <c r="AO51" s="10">
        <f t="shared" si="8"/>
        <v>8.4272166879206245E-3</v>
      </c>
      <c r="AP51" s="10">
        <f t="shared" si="8"/>
        <v>8.4272166879206245E-3</v>
      </c>
      <c r="AQ51" s="10">
        <f t="shared" si="8"/>
        <v>8.4272166879206245E-3</v>
      </c>
      <c r="AR51" s="10">
        <f t="shared" si="8"/>
        <v>8.4272166879206245E-3</v>
      </c>
      <c r="AS51" s="10">
        <f t="shared" si="8"/>
        <v>8.4272166879206245E-3</v>
      </c>
      <c r="AT51" s="10">
        <f t="shared" si="8"/>
        <v>8.4272166879206245E-3</v>
      </c>
      <c r="AU51" s="10">
        <f t="shared" si="8"/>
        <v>8.4272166879206245E-3</v>
      </c>
      <c r="AV51" s="10">
        <f t="shared" si="8"/>
        <v>8.4272166879206245E-3</v>
      </c>
      <c r="AW51" s="10">
        <f t="shared" si="8"/>
        <v>8.4272166879206245E-3</v>
      </c>
      <c r="AX51" s="10">
        <f t="shared" si="8"/>
        <v>8.4272166879206245E-3</v>
      </c>
      <c r="AY51" s="10">
        <f t="shared" si="8"/>
        <v>8.4272166879206245E-3</v>
      </c>
      <c r="AZ51" s="10">
        <f t="shared" si="8"/>
        <v>8.4272166879206245E-3</v>
      </c>
      <c r="BA51" s="10">
        <f t="shared" si="8"/>
        <v>8.4272166879206245E-3</v>
      </c>
      <c r="BB51" s="10">
        <f t="shared" si="8"/>
        <v>8.4272166879206245E-3</v>
      </c>
      <c r="BC51" s="10">
        <f t="shared" si="8"/>
        <v>8.4272166879206245E-3</v>
      </c>
      <c r="BD51" s="10">
        <f t="shared" si="8"/>
        <v>8.4272166879206245E-3</v>
      </c>
      <c r="BE51" s="10">
        <f t="shared" si="8"/>
        <v>8.4272166879206245E-3</v>
      </c>
      <c r="BF51" s="10">
        <f t="shared" si="8"/>
        <v>8.4272166879206245E-3</v>
      </c>
      <c r="BG51" s="10">
        <f t="shared" si="8"/>
        <v>8.4272166879206245E-3</v>
      </c>
      <c r="BH51" s="10">
        <f t="shared" si="8"/>
        <v>8.4272166879206245E-3</v>
      </c>
      <c r="BI51" s="10">
        <f t="shared" si="8"/>
        <v>8.4272166879206245E-3</v>
      </c>
    </row>
    <row r="52" spans="1:61" ht="30">
      <c r="A52" s="8" t="str">
        <f t="shared" ref="A52:A56" si="9">A45</f>
        <v>Pociąg blokowy (bezpośredni), 
trakcja spalinowa</v>
      </c>
      <c r="B52" s="129" t="s">
        <v>537</v>
      </c>
      <c r="C52" s="13"/>
      <c r="D52" s="13"/>
      <c r="E52" s="13"/>
      <c r="F52" s="13"/>
      <c r="G52" s="13"/>
      <c r="H52" s="13"/>
      <c r="I52" s="13"/>
      <c r="J52" s="13"/>
      <c r="K52" s="13"/>
      <c r="L52" s="13"/>
      <c r="M52" s="13"/>
      <c r="N52" s="13"/>
      <c r="O52" s="13"/>
      <c r="P52" s="13"/>
      <c r="Q52" s="93"/>
      <c r="R52" s="93"/>
      <c r="S52" s="10">
        <f>S45/$R$9</f>
        <v>1.0447181362144408E-2</v>
      </c>
      <c r="T52" s="10">
        <f t="shared" ref="T52:BI52" si="10">T45/$R$9</f>
        <v>1.0687466533473728E-2</v>
      </c>
      <c r="U52" s="10">
        <f t="shared" si="10"/>
        <v>1.1050840395611836E-2</v>
      </c>
      <c r="V52" s="10">
        <f t="shared" si="10"/>
        <v>1.1614433255788039E-2</v>
      </c>
      <c r="W52" s="10">
        <f t="shared" si="10"/>
        <v>1.1614433255788039E-2</v>
      </c>
      <c r="X52" s="10">
        <f t="shared" si="10"/>
        <v>1.1614433255788039E-2</v>
      </c>
      <c r="Y52" s="10">
        <f t="shared" si="10"/>
        <v>1.1614433255788039E-2</v>
      </c>
      <c r="Z52" s="10">
        <f t="shared" si="10"/>
        <v>1.1614433255788039E-2</v>
      </c>
      <c r="AA52" s="10">
        <f t="shared" si="10"/>
        <v>1.1614433255788039E-2</v>
      </c>
      <c r="AB52" s="10">
        <f t="shared" si="10"/>
        <v>1.1614433255788039E-2</v>
      </c>
      <c r="AC52" s="10">
        <f t="shared" si="10"/>
        <v>1.1614433255788039E-2</v>
      </c>
      <c r="AD52" s="10">
        <f t="shared" si="10"/>
        <v>1.1614433255788039E-2</v>
      </c>
      <c r="AE52" s="10">
        <f t="shared" si="10"/>
        <v>1.1614433255788039E-2</v>
      </c>
      <c r="AF52" s="10">
        <f t="shared" si="10"/>
        <v>1.1614433255788039E-2</v>
      </c>
      <c r="AG52" s="10">
        <f t="shared" si="10"/>
        <v>1.1614433255788039E-2</v>
      </c>
      <c r="AH52" s="10">
        <f t="shared" si="10"/>
        <v>1.1614433255788039E-2</v>
      </c>
      <c r="AI52" s="10">
        <f t="shared" si="10"/>
        <v>1.1614433255788039E-2</v>
      </c>
      <c r="AJ52" s="10">
        <f t="shared" si="10"/>
        <v>1.1614433255788039E-2</v>
      </c>
      <c r="AK52" s="10">
        <f t="shared" si="10"/>
        <v>1.1614433255788039E-2</v>
      </c>
      <c r="AL52" s="10">
        <f t="shared" si="10"/>
        <v>1.1614433255788039E-2</v>
      </c>
      <c r="AM52" s="10">
        <f t="shared" si="10"/>
        <v>1.1614433255788039E-2</v>
      </c>
      <c r="AN52" s="10">
        <f t="shared" si="10"/>
        <v>1.1614433255788039E-2</v>
      </c>
      <c r="AO52" s="10">
        <f t="shared" si="10"/>
        <v>1.1614433255788039E-2</v>
      </c>
      <c r="AP52" s="10">
        <f t="shared" si="10"/>
        <v>1.1614433255788039E-2</v>
      </c>
      <c r="AQ52" s="10">
        <f t="shared" si="10"/>
        <v>1.1614433255788039E-2</v>
      </c>
      <c r="AR52" s="10">
        <f t="shared" si="10"/>
        <v>1.1614433255788039E-2</v>
      </c>
      <c r="AS52" s="10">
        <f t="shared" si="10"/>
        <v>1.1614433255788039E-2</v>
      </c>
      <c r="AT52" s="10">
        <f t="shared" si="10"/>
        <v>1.1614433255788039E-2</v>
      </c>
      <c r="AU52" s="10">
        <f t="shared" si="10"/>
        <v>1.1614433255788039E-2</v>
      </c>
      <c r="AV52" s="10">
        <f t="shared" si="10"/>
        <v>1.1614433255788039E-2</v>
      </c>
      <c r="AW52" s="10">
        <f t="shared" si="10"/>
        <v>1.1614433255788039E-2</v>
      </c>
      <c r="AX52" s="10">
        <f t="shared" si="10"/>
        <v>1.1614433255788039E-2</v>
      </c>
      <c r="AY52" s="10">
        <f t="shared" si="10"/>
        <v>1.1614433255788039E-2</v>
      </c>
      <c r="AZ52" s="10">
        <f t="shared" si="10"/>
        <v>1.1614433255788039E-2</v>
      </c>
      <c r="BA52" s="10">
        <f t="shared" si="10"/>
        <v>1.1614433255788039E-2</v>
      </c>
      <c r="BB52" s="10">
        <f t="shared" si="10"/>
        <v>1.1614433255788039E-2</v>
      </c>
      <c r="BC52" s="10">
        <f t="shared" si="10"/>
        <v>1.1614433255788039E-2</v>
      </c>
      <c r="BD52" s="10">
        <f t="shared" si="10"/>
        <v>1.1614433255788039E-2</v>
      </c>
      <c r="BE52" s="10">
        <f t="shared" si="10"/>
        <v>1.1614433255788039E-2</v>
      </c>
      <c r="BF52" s="10">
        <f t="shared" si="10"/>
        <v>1.1614433255788039E-2</v>
      </c>
      <c r="BG52" s="10">
        <f t="shared" si="10"/>
        <v>1.1614433255788039E-2</v>
      </c>
      <c r="BH52" s="10">
        <f t="shared" si="10"/>
        <v>1.1614433255788039E-2</v>
      </c>
      <c r="BI52" s="10">
        <f t="shared" si="10"/>
        <v>1.1614433255788039E-2</v>
      </c>
    </row>
    <row r="53" spans="1:61" ht="30">
      <c r="A53" s="8" t="str">
        <f t="shared" si="9"/>
        <v>Pociąg grupowy, 
trakcja elektryczna</v>
      </c>
      <c r="B53" s="129" t="s">
        <v>537</v>
      </c>
      <c r="C53" s="13"/>
      <c r="D53" s="13"/>
      <c r="E53" s="13"/>
      <c r="F53" s="13"/>
      <c r="G53" s="13"/>
      <c r="H53" s="13"/>
      <c r="I53" s="13"/>
      <c r="J53" s="13"/>
      <c r="K53" s="13"/>
      <c r="L53" s="13"/>
      <c r="M53" s="13"/>
      <c r="N53" s="13"/>
      <c r="O53" s="13"/>
      <c r="P53" s="13"/>
      <c r="Q53" s="93"/>
      <c r="R53" s="93"/>
      <c r="S53" s="10">
        <f>S46/$T$9</f>
        <v>7.5802804302071061E-3</v>
      </c>
      <c r="T53" s="10">
        <f t="shared" ref="T53:BI53" si="11">T46/$T$9</f>
        <v>7.7546268801018687E-3</v>
      </c>
      <c r="U53" s="10">
        <f t="shared" si="11"/>
        <v>8.0182841940253328E-3</v>
      </c>
      <c r="V53" s="10">
        <f t="shared" si="11"/>
        <v>8.4272166879206245E-3</v>
      </c>
      <c r="W53" s="10">
        <f t="shared" si="11"/>
        <v>8.4272166879206245E-3</v>
      </c>
      <c r="X53" s="10">
        <f t="shared" si="11"/>
        <v>8.4272166879206245E-3</v>
      </c>
      <c r="Y53" s="10">
        <f t="shared" si="11"/>
        <v>8.4272166879206245E-3</v>
      </c>
      <c r="Z53" s="10">
        <f t="shared" si="11"/>
        <v>8.4272166879206245E-3</v>
      </c>
      <c r="AA53" s="10">
        <f t="shared" si="11"/>
        <v>8.4272166879206245E-3</v>
      </c>
      <c r="AB53" s="10">
        <f t="shared" si="11"/>
        <v>8.4272166879206245E-3</v>
      </c>
      <c r="AC53" s="10">
        <f t="shared" si="11"/>
        <v>8.4272166879206245E-3</v>
      </c>
      <c r="AD53" s="10">
        <f t="shared" si="11"/>
        <v>8.4272166879206245E-3</v>
      </c>
      <c r="AE53" s="10">
        <f t="shared" si="11"/>
        <v>8.4272166879206245E-3</v>
      </c>
      <c r="AF53" s="10">
        <f t="shared" si="11"/>
        <v>8.4272166879206245E-3</v>
      </c>
      <c r="AG53" s="10">
        <f t="shared" si="11"/>
        <v>8.4272166879206245E-3</v>
      </c>
      <c r="AH53" s="10">
        <f t="shared" si="11"/>
        <v>8.4272166879206245E-3</v>
      </c>
      <c r="AI53" s="10">
        <f t="shared" si="11"/>
        <v>8.4272166879206245E-3</v>
      </c>
      <c r="AJ53" s="10">
        <f t="shared" si="11"/>
        <v>8.4272166879206245E-3</v>
      </c>
      <c r="AK53" s="10">
        <f t="shared" si="11"/>
        <v>8.4272166879206245E-3</v>
      </c>
      <c r="AL53" s="10">
        <f t="shared" si="11"/>
        <v>8.4272166879206245E-3</v>
      </c>
      <c r="AM53" s="10">
        <f t="shared" si="11"/>
        <v>8.4272166879206245E-3</v>
      </c>
      <c r="AN53" s="10">
        <f t="shared" si="11"/>
        <v>8.4272166879206245E-3</v>
      </c>
      <c r="AO53" s="10">
        <f t="shared" si="11"/>
        <v>8.4272166879206245E-3</v>
      </c>
      <c r="AP53" s="10">
        <f t="shared" si="11"/>
        <v>8.4272166879206245E-3</v>
      </c>
      <c r="AQ53" s="10">
        <f t="shared" si="11"/>
        <v>8.4272166879206245E-3</v>
      </c>
      <c r="AR53" s="10">
        <f t="shared" si="11"/>
        <v>8.4272166879206245E-3</v>
      </c>
      <c r="AS53" s="10">
        <f t="shared" si="11"/>
        <v>8.4272166879206245E-3</v>
      </c>
      <c r="AT53" s="10">
        <f t="shared" si="11"/>
        <v>8.4272166879206245E-3</v>
      </c>
      <c r="AU53" s="10">
        <f t="shared" si="11"/>
        <v>8.4272166879206245E-3</v>
      </c>
      <c r="AV53" s="10">
        <f t="shared" si="11"/>
        <v>8.4272166879206245E-3</v>
      </c>
      <c r="AW53" s="10">
        <f t="shared" si="11"/>
        <v>8.4272166879206245E-3</v>
      </c>
      <c r="AX53" s="10">
        <f t="shared" si="11"/>
        <v>8.4272166879206245E-3</v>
      </c>
      <c r="AY53" s="10">
        <f t="shared" si="11"/>
        <v>8.4272166879206245E-3</v>
      </c>
      <c r="AZ53" s="10">
        <f t="shared" si="11"/>
        <v>8.4272166879206245E-3</v>
      </c>
      <c r="BA53" s="10">
        <f t="shared" si="11"/>
        <v>8.4272166879206245E-3</v>
      </c>
      <c r="BB53" s="10">
        <f t="shared" si="11"/>
        <v>8.4272166879206245E-3</v>
      </c>
      <c r="BC53" s="10">
        <f t="shared" si="11"/>
        <v>8.4272166879206245E-3</v>
      </c>
      <c r="BD53" s="10">
        <f t="shared" si="11"/>
        <v>8.4272166879206245E-3</v>
      </c>
      <c r="BE53" s="10">
        <f t="shared" si="11"/>
        <v>8.4272166879206245E-3</v>
      </c>
      <c r="BF53" s="10">
        <f t="shared" si="11"/>
        <v>8.4272166879206245E-3</v>
      </c>
      <c r="BG53" s="10">
        <f t="shared" si="11"/>
        <v>8.4272166879206245E-3</v>
      </c>
      <c r="BH53" s="10">
        <f t="shared" si="11"/>
        <v>8.4272166879206245E-3</v>
      </c>
      <c r="BI53" s="10">
        <f t="shared" si="11"/>
        <v>8.4272166879206245E-3</v>
      </c>
    </row>
    <row r="54" spans="1:61" ht="30">
      <c r="A54" s="8" t="str">
        <f t="shared" si="9"/>
        <v>Pociąg grupowy, 
trakcja spalinowa</v>
      </c>
      <c r="B54" s="129" t="s">
        <v>537</v>
      </c>
      <c r="C54" s="13"/>
      <c r="D54" s="13"/>
      <c r="E54" s="13"/>
      <c r="F54" s="13"/>
      <c r="G54" s="13"/>
      <c r="H54" s="13"/>
      <c r="I54" s="13"/>
      <c r="J54" s="13"/>
      <c r="K54" s="13"/>
      <c r="L54" s="13"/>
      <c r="M54" s="13"/>
      <c r="N54" s="13"/>
      <c r="O54" s="13"/>
      <c r="P54" s="13"/>
      <c r="Q54" s="93"/>
      <c r="R54" s="93"/>
      <c r="S54" s="10">
        <f>S47/$V$9</f>
        <v>1.0447181362144408E-2</v>
      </c>
      <c r="T54" s="10">
        <f t="shared" ref="T54:BI54" si="12">T47/$V$9</f>
        <v>1.0687466533473728E-2</v>
      </c>
      <c r="U54" s="10">
        <f t="shared" si="12"/>
        <v>1.1050840395611836E-2</v>
      </c>
      <c r="V54" s="10">
        <f t="shared" si="12"/>
        <v>1.1614433255788039E-2</v>
      </c>
      <c r="W54" s="10">
        <f t="shared" si="12"/>
        <v>1.1614433255788039E-2</v>
      </c>
      <c r="X54" s="10">
        <f t="shared" si="12"/>
        <v>1.1614433255788039E-2</v>
      </c>
      <c r="Y54" s="10">
        <f t="shared" si="12"/>
        <v>1.1614433255788039E-2</v>
      </c>
      <c r="Z54" s="10">
        <f t="shared" si="12"/>
        <v>1.1614433255788039E-2</v>
      </c>
      <c r="AA54" s="10">
        <f t="shared" si="12"/>
        <v>1.1614433255788039E-2</v>
      </c>
      <c r="AB54" s="10">
        <f t="shared" si="12"/>
        <v>1.1614433255788039E-2</v>
      </c>
      <c r="AC54" s="10">
        <f t="shared" si="12"/>
        <v>1.1614433255788039E-2</v>
      </c>
      <c r="AD54" s="10">
        <f t="shared" si="12"/>
        <v>1.1614433255788039E-2</v>
      </c>
      <c r="AE54" s="10">
        <f t="shared" si="12"/>
        <v>1.1614433255788039E-2</v>
      </c>
      <c r="AF54" s="10">
        <f t="shared" si="12"/>
        <v>1.1614433255788039E-2</v>
      </c>
      <c r="AG54" s="10">
        <f t="shared" si="12"/>
        <v>1.1614433255788039E-2</v>
      </c>
      <c r="AH54" s="10">
        <f t="shared" si="12"/>
        <v>1.1614433255788039E-2</v>
      </c>
      <c r="AI54" s="10">
        <f t="shared" si="12"/>
        <v>1.1614433255788039E-2</v>
      </c>
      <c r="AJ54" s="10">
        <f t="shared" si="12"/>
        <v>1.1614433255788039E-2</v>
      </c>
      <c r="AK54" s="10">
        <f t="shared" si="12"/>
        <v>1.1614433255788039E-2</v>
      </c>
      <c r="AL54" s="10">
        <f t="shared" si="12"/>
        <v>1.1614433255788039E-2</v>
      </c>
      <c r="AM54" s="10">
        <f t="shared" si="12"/>
        <v>1.1614433255788039E-2</v>
      </c>
      <c r="AN54" s="10">
        <f t="shared" si="12"/>
        <v>1.1614433255788039E-2</v>
      </c>
      <c r="AO54" s="10">
        <f t="shared" si="12"/>
        <v>1.1614433255788039E-2</v>
      </c>
      <c r="AP54" s="10">
        <f t="shared" si="12"/>
        <v>1.1614433255788039E-2</v>
      </c>
      <c r="AQ54" s="10">
        <f t="shared" si="12"/>
        <v>1.1614433255788039E-2</v>
      </c>
      <c r="AR54" s="10">
        <f t="shared" si="12"/>
        <v>1.1614433255788039E-2</v>
      </c>
      <c r="AS54" s="10">
        <f t="shared" si="12"/>
        <v>1.1614433255788039E-2</v>
      </c>
      <c r="AT54" s="10">
        <f t="shared" si="12"/>
        <v>1.1614433255788039E-2</v>
      </c>
      <c r="AU54" s="10">
        <f t="shared" si="12"/>
        <v>1.1614433255788039E-2</v>
      </c>
      <c r="AV54" s="10">
        <f t="shared" si="12"/>
        <v>1.1614433255788039E-2</v>
      </c>
      <c r="AW54" s="10">
        <f t="shared" si="12"/>
        <v>1.1614433255788039E-2</v>
      </c>
      <c r="AX54" s="10">
        <f t="shared" si="12"/>
        <v>1.1614433255788039E-2</v>
      </c>
      <c r="AY54" s="10">
        <f t="shared" si="12"/>
        <v>1.1614433255788039E-2</v>
      </c>
      <c r="AZ54" s="10">
        <f t="shared" si="12"/>
        <v>1.1614433255788039E-2</v>
      </c>
      <c r="BA54" s="10">
        <f t="shared" si="12"/>
        <v>1.1614433255788039E-2</v>
      </c>
      <c r="BB54" s="10">
        <f t="shared" si="12"/>
        <v>1.1614433255788039E-2</v>
      </c>
      <c r="BC54" s="10">
        <f t="shared" si="12"/>
        <v>1.1614433255788039E-2</v>
      </c>
      <c r="BD54" s="10">
        <f t="shared" si="12"/>
        <v>1.1614433255788039E-2</v>
      </c>
      <c r="BE54" s="10">
        <f t="shared" si="12"/>
        <v>1.1614433255788039E-2</v>
      </c>
      <c r="BF54" s="10">
        <f t="shared" si="12"/>
        <v>1.1614433255788039E-2</v>
      </c>
      <c r="BG54" s="10">
        <f t="shared" si="12"/>
        <v>1.1614433255788039E-2</v>
      </c>
      <c r="BH54" s="10">
        <f t="shared" si="12"/>
        <v>1.1614433255788039E-2</v>
      </c>
      <c r="BI54" s="10">
        <f t="shared" si="12"/>
        <v>1.1614433255788039E-2</v>
      </c>
    </row>
    <row r="55" spans="1:61" ht="45">
      <c r="A55" s="8" t="str">
        <f t="shared" si="9"/>
        <v>Pociąg kontenerowy, intermodalny, 
trakcja elektryczna</v>
      </c>
      <c r="B55" s="129" t="s">
        <v>537</v>
      </c>
      <c r="C55" s="13"/>
      <c r="D55" s="13"/>
      <c r="E55" s="13"/>
      <c r="F55" s="13"/>
      <c r="G55" s="13"/>
      <c r="H55" s="13"/>
      <c r="I55" s="13"/>
      <c r="J55" s="13"/>
      <c r="K55" s="13"/>
      <c r="L55" s="13"/>
      <c r="M55" s="13"/>
      <c r="N55" s="13"/>
      <c r="O55" s="13"/>
      <c r="P55" s="13"/>
      <c r="Q55" s="93"/>
      <c r="R55" s="93"/>
      <c r="S55" s="10">
        <f>S48/$X$9</f>
        <v>1.155234737563563E-2</v>
      </c>
      <c r="T55" s="10">
        <f t="shared" ref="T55:BI55" si="13">T48/$X$9</f>
        <v>1.1818051365275247E-2</v>
      </c>
      <c r="U55" s="10">
        <f t="shared" si="13"/>
        <v>1.2219865111694607E-2</v>
      </c>
      <c r="V55" s="10">
        <f t="shared" si="13"/>
        <v>1.2843078232391031E-2</v>
      </c>
      <c r="W55" s="10">
        <f t="shared" si="13"/>
        <v>1.2843078232391031E-2</v>
      </c>
      <c r="X55" s="10">
        <f t="shared" si="13"/>
        <v>1.2843078232391031E-2</v>
      </c>
      <c r="Y55" s="10">
        <f t="shared" si="13"/>
        <v>1.2843078232391031E-2</v>
      </c>
      <c r="Z55" s="10">
        <f t="shared" si="13"/>
        <v>1.2843078232391031E-2</v>
      </c>
      <c r="AA55" s="10">
        <f t="shared" si="13"/>
        <v>1.2843078232391031E-2</v>
      </c>
      <c r="AB55" s="10">
        <f t="shared" si="13"/>
        <v>1.2843078232391031E-2</v>
      </c>
      <c r="AC55" s="10">
        <f t="shared" si="13"/>
        <v>1.2843078232391031E-2</v>
      </c>
      <c r="AD55" s="10">
        <f t="shared" si="13"/>
        <v>1.2843078232391031E-2</v>
      </c>
      <c r="AE55" s="10">
        <f t="shared" si="13"/>
        <v>1.2843078232391031E-2</v>
      </c>
      <c r="AF55" s="10">
        <f t="shared" si="13"/>
        <v>1.2843078232391031E-2</v>
      </c>
      <c r="AG55" s="10">
        <f t="shared" si="13"/>
        <v>1.2843078232391031E-2</v>
      </c>
      <c r="AH55" s="10">
        <f t="shared" si="13"/>
        <v>1.2843078232391031E-2</v>
      </c>
      <c r="AI55" s="10">
        <f t="shared" si="13"/>
        <v>1.2843078232391031E-2</v>
      </c>
      <c r="AJ55" s="10">
        <f t="shared" si="13"/>
        <v>1.2843078232391031E-2</v>
      </c>
      <c r="AK55" s="10">
        <f t="shared" si="13"/>
        <v>1.2843078232391031E-2</v>
      </c>
      <c r="AL55" s="10">
        <f t="shared" si="13"/>
        <v>1.2843078232391031E-2</v>
      </c>
      <c r="AM55" s="10">
        <f t="shared" si="13"/>
        <v>1.2843078232391031E-2</v>
      </c>
      <c r="AN55" s="10">
        <f t="shared" si="13"/>
        <v>1.2843078232391031E-2</v>
      </c>
      <c r="AO55" s="10">
        <f t="shared" si="13"/>
        <v>1.2843078232391031E-2</v>
      </c>
      <c r="AP55" s="10">
        <f t="shared" si="13"/>
        <v>1.2843078232391031E-2</v>
      </c>
      <c r="AQ55" s="10">
        <f t="shared" si="13"/>
        <v>1.2843078232391031E-2</v>
      </c>
      <c r="AR55" s="10">
        <f t="shared" si="13"/>
        <v>1.2843078232391031E-2</v>
      </c>
      <c r="AS55" s="10">
        <f t="shared" si="13"/>
        <v>1.2843078232391031E-2</v>
      </c>
      <c r="AT55" s="10">
        <f t="shared" si="13"/>
        <v>1.2843078232391031E-2</v>
      </c>
      <c r="AU55" s="10">
        <f t="shared" si="13"/>
        <v>1.2843078232391031E-2</v>
      </c>
      <c r="AV55" s="10">
        <f t="shared" si="13"/>
        <v>1.2843078232391031E-2</v>
      </c>
      <c r="AW55" s="10">
        <f t="shared" si="13"/>
        <v>1.2843078232391031E-2</v>
      </c>
      <c r="AX55" s="10">
        <f t="shared" si="13"/>
        <v>1.2843078232391031E-2</v>
      </c>
      <c r="AY55" s="10">
        <f t="shared" si="13"/>
        <v>1.2843078232391031E-2</v>
      </c>
      <c r="AZ55" s="10">
        <f t="shared" si="13"/>
        <v>1.2843078232391031E-2</v>
      </c>
      <c r="BA55" s="10">
        <f t="shared" si="13"/>
        <v>1.2843078232391031E-2</v>
      </c>
      <c r="BB55" s="10">
        <f t="shared" si="13"/>
        <v>1.2843078232391031E-2</v>
      </c>
      <c r="BC55" s="10">
        <f t="shared" si="13"/>
        <v>1.2843078232391031E-2</v>
      </c>
      <c r="BD55" s="10">
        <f t="shared" si="13"/>
        <v>1.2843078232391031E-2</v>
      </c>
      <c r="BE55" s="10">
        <f t="shared" si="13"/>
        <v>1.2843078232391031E-2</v>
      </c>
      <c r="BF55" s="10">
        <f t="shared" si="13"/>
        <v>1.2843078232391031E-2</v>
      </c>
      <c r="BG55" s="10">
        <f t="shared" si="13"/>
        <v>1.2843078232391031E-2</v>
      </c>
      <c r="BH55" s="10">
        <f t="shared" si="13"/>
        <v>1.2843078232391031E-2</v>
      </c>
      <c r="BI55" s="10">
        <f t="shared" si="13"/>
        <v>1.2843078232391031E-2</v>
      </c>
    </row>
    <row r="56" spans="1:61" ht="45">
      <c r="A56" s="8" t="str">
        <f t="shared" si="9"/>
        <v>Pociąg kontenerowy, intermodalny, 
trakcja spalinowa</v>
      </c>
      <c r="B56" s="129" t="s">
        <v>537</v>
      </c>
      <c r="C56" s="13"/>
      <c r="D56" s="13"/>
      <c r="E56" s="13"/>
      <c r="F56" s="13"/>
      <c r="G56" s="13"/>
      <c r="H56" s="13"/>
      <c r="I56" s="13"/>
      <c r="J56" s="13"/>
      <c r="K56" s="13"/>
      <c r="L56" s="13"/>
      <c r="M56" s="13"/>
      <c r="N56" s="13"/>
      <c r="O56" s="13"/>
      <c r="P56" s="13"/>
      <c r="Q56" s="93"/>
      <c r="R56" s="93"/>
      <c r="S56" s="10">
        <f>S49/$Z$9</f>
        <v>1.5921504395908077E-2</v>
      </c>
      <c r="T56" s="10">
        <f t="shared" ref="T56:BI56" si="14">T49/$Z$9</f>
        <v>1.6287698997013961E-2</v>
      </c>
      <c r="U56" s="10">
        <f t="shared" si="14"/>
        <v>1.6841480762912437E-2</v>
      </c>
      <c r="V56" s="10">
        <f t="shared" si="14"/>
        <v>1.7700396281820973E-2</v>
      </c>
      <c r="W56" s="10">
        <f t="shared" si="14"/>
        <v>1.7700396281820973E-2</v>
      </c>
      <c r="X56" s="10">
        <f t="shared" si="14"/>
        <v>1.7700396281820973E-2</v>
      </c>
      <c r="Y56" s="10">
        <f t="shared" si="14"/>
        <v>1.7700396281820973E-2</v>
      </c>
      <c r="Z56" s="10">
        <f t="shared" si="14"/>
        <v>1.7700396281820973E-2</v>
      </c>
      <c r="AA56" s="10">
        <f t="shared" si="14"/>
        <v>1.7700396281820973E-2</v>
      </c>
      <c r="AB56" s="10">
        <f t="shared" si="14"/>
        <v>1.7700396281820973E-2</v>
      </c>
      <c r="AC56" s="10">
        <f t="shared" si="14"/>
        <v>1.7700396281820973E-2</v>
      </c>
      <c r="AD56" s="10">
        <f t="shared" si="14"/>
        <v>1.7700396281820973E-2</v>
      </c>
      <c r="AE56" s="10">
        <f t="shared" si="14"/>
        <v>1.7700396281820973E-2</v>
      </c>
      <c r="AF56" s="10">
        <f t="shared" si="14"/>
        <v>1.7700396281820973E-2</v>
      </c>
      <c r="AG56" s="10">
        <f t="shared" si="14"/>
        <v>1.7700396281820973E-2</v>
      </c>
      <c r="AH56" s="10">
        <f t="shared" si="14"/>
        <v>1.7700396281820973E-2</v>
      </c>
      <c r="AI56" s="10">
        <f t="shared" si="14"/>
        <v>1.7700396281820973E-2</v>
      </c>
      <c r="AJ56" s="10">
        <f t="shared" si="14"/>
        <v>1.7700396281820973E-2</v>
      </c>
      <c r="AK56" s="10">
        <f t="shared" si="14"/>
        <v>1.7700396281820973E-2</v>
      </c>
      <c r="AL56" s="10">
        <f t="shared" si="14"/>
        <v>1.7700396281820973E-2</v>
      </c>
      <c r="AM56" s="10">
        <f t="shared" si="14"/>
        <v>1.7700396281820973E-2</v>
      </c>
      <c r="AN56" s="10">
        <f t="shared" si="14"/>
        <v>1.7700396281820973E-2</v>
      </c>
      <c r="AO56" s="10">
        <f t="shared" si="14"/>
        <v>1.7700396281820973E-2</v>
      </c>
      <c r="AP56" s="10">
        <f t="shared" si="14"/>
        <v>1.7700396281820973E-2</v>
      </c>
      <c r="AQ56" s="10">
        <f t="shared" si="14"/>
        <v>1.7700396281820973E-2</v>
      </c>
      <c r="AR56" s="10">
        <f t="shared" si="14"/>
        <v>1.7700396281820973E-2</v>
      </c>
      <c r="AS56" s="10">
        <f t="shared" si="14"/>
        <v>1.7700396281820973E-2</v>
      </c>
      <c r="AT56" s="10">
        <f t="shared" si="14"/>
        <v>1.7700396281820973E-2</v>
      </c>
      <c r="AU56" s="10">
        <f t="shared" si="14"/>
        <v>1.7700396281820973E-2</v>
      </c>
      <c r="AV56" s="10">
        <f t="shared" si="14"/>
        <v>1.7700396281820973E-2</v>
      </c>
      <c r="AW56" s="10">
        <f t="shared" si="14"/>
        <v>1.7700396281820973E-2</v>
      </c>
      <c r="AX56" s="10">
        <f t="shared" si="14"/>
        <v>1.7700396281820973E-2</v>
      </c>
      <c r="AY56" s="10">
        <f t="shared" si="14"/>
        <v>1.7700396281820973E-2</v>
      </c>
      <c r="AZ56" s="10">
        <f t="shared" si="14"/>
        <v>1.7700396281820973E-2</v>
      </c>
      <c r="BA56" s="10">
        <f t="shared" si="14"/>
        <v>1.7700396281820973E-2</v>
      </c>
      <c r="BB56" s="10">
        <f t="shared" si="14"/>
        <v>1.7700396281820973E-2</v>
      </c>
      <c r="BC56" s="10">
        <f t="shared" si="14"/>
        <v>1.7700396281820973E-2</v>
      </c>
      <c r="BD56" s="10">
        <f t="shared" si="14"/>
        <v>1.7700396281820973E-2</v>
      </c>
      <c r="BE56" s="10">
        <f t="shared" si="14"/>
        <v>1.7700396281820973E-2</v>
      </c>
      <c r="BF56" s="10">
        <f t="shared" si="14"/>
        <v>1.7700396281820973E-2</v>
      </c>
      <c r="BG56" s="10">
        <f t="shared" si="14"/>
        <v>1.7700396281820973E-2</v>
      </c>
      <c r="BH56" s="10">
        <f t="shared" si="14"/>
        <v>1.7700396281820973E-2</v>
      </c>
      <c r="BI56" s="10">
        <f t="shared" si="14"/>
        <v>1.7700396281820973E-2</v>
      </c>
    </row>
    <row r="57" spans="1:61" ht="15" customHeight="1">
      <c r="A57" s="9" t="s">
        <v>538</v>
      </c>
      <c r="B57" s="6"/>
      <c r="C57" s="6"/>
      <c r="D57" s="6"/>
      <c r="E57" s="6"/>
      <c r="F57" s="6"/>
      <c r="G57" s="6"/>
      <c r="H57" s="6"/>
      <c r="I57" s="6"/>
      <c r="J57" s="6"/>
      <c r="K57" s="6"/>
      <c r="L57" s="6"/>
      <c r="M57" s="6"/>
      <c r="N57" s="6"/>
      <c r="O57" s="6"/>
      <c r="P57" s="6"/>
      <c r="Q57" s="6"/>
      <c r="R57" s="20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ht="30">
      <c r="A58" s="8" t="str">
        <f>A44</f>
        <v>Pociąg blokowy (bezpośredni), 
trakcja elektryczna</v>
      </c>
      <c r="B58" s="129" t="s">
        <v>510</v>
      </c>
      <c r="C58" s="13"/>
      <c r="D58" s="13"/>
      <c r="E58" s="13"/>
      <c r="F58" s="13"/>
      <c r="G58" s="13"/>
      <c r="H58" s="13"/>
      <c r="I58" s="13"/>
      <c r="J58" s="13"/>
      <c r="K58" s="13"/>
      <c r="L58" s="13"/>
      <c r="M58" s="13"/>
      <c r="N58" s="13"/>
      <c r="O58" s="13"/>
      <c r="P58" s="13"/>
      <c r="Q58" s="93"/>
      <c r="R58" s="93"/>
      <c r="S58" s="10">
        <f>S44/$P$8</f>
        <v>5.081677731218019E-3</v>
      </c>
      <c r="T58" s="10">
        <f t="shared" ref="T58:BI58" si="15">T44/$P$8</f>
        <v>5.1985563190360328E-3</v>
      </c>
      <c r="U58" s="10">
        <f t="shared" si="15"/>
        <v>5.3753072338832584E-3</v>
      </c>
      <c r="V58" s="10">
        <f t="shared" si="15"/>
        <v>5.6494479028113042E-3</v>
      </c>
      <c r="W58" s="10">
        <f t="shared" si="15"/>
        <v>5.6494479028113042E-3</v>
      </c>
      <c r="X58" s="10">
        <f t="shared" si="15"/>
        <v>5.6494479028113042E-3</v>
      </c>
      <c r="Y58" s="10">
        <f t="shared" si="15"/>
        <v>5.6494479028113042E-3</v>
      </c>
      <c r="Z58" s="10">
        <f t="shared" si="15"/>
        <v>5.6494479028113042E-3</v>
      </c>
      <c r="AA58" s="10">
        <f t="shared" si="15"/>
        <v>5.6494479028113042E-3</v>
      </c>
      <c r="AB58" s="10">
        <f t="shared" si="15"/>
        <v>5.6494479028113042E-3</v>
      </c>
      <c r="AC58" s="10">
        <f t="shared" si="15"/>
        <v>5.6494479028113042E-3</v>
      </c>
      <c r="AD58" s="10">
        <f t="shared" si="15"/>
        <v>5.6494479028113042E-3</v>
      </c>
      <c r="AE58" s="10">
        <f t="shared" si="15"/>
        <v>5.6494479028113042E-3</v>
      </c>
      <c r="AF58" s="10">
        <f t="shared" si="15"/>
        <v>5.6494479028113042E-3</v>
      </c>
      <c r="AG58" s="10">
        <f t="shared" si="15"/>
        <v>5.6494479028113042E-3</v>
      </c>
      <c r="AH58" s="10">
        <f t="shared" si="15"/>
        <v>5.6494479028113042E-3</v>
      </c>
      <c r="AI58" s="10">
        <f t="shared" si="15"/>
        <v>5.6494479028113042E-3</v>
      </c>
      <c r="AJ58" s="10">
        <f t="shared" si="15"/>
        <v>5.6494479028113042E-3</v>
      </c>
      <c r="AK58" s="10">
        <f t="shared" si="15"/>
        <v>5.6494479028113042E-3</v>
      </c>
      <c r="AL58" s="10">
        <f t="shared" si="15"/>
        <v>5.6494479028113042E-3</v>
      </c>
      <c r="AM58" s="10">
        <f t="shared" si="15"/>
        <v>5.6494479028113042E-3</v>
      </c>
      <c r="AN58" s="10">
        <f t="shared" si="15"/>
        <v>5.6494479028113042E-3</v>
      </c>
      <c r="AO58" s="10">
        <f t="shared" si="15"/>
        <v>5.6494479028113042E-3</v>
      </c>
      <c r="AP58" s="10">
        <f t="shared" si="15"/>
        <v>5.6494479028113042E-3</v>
      </c>
      <c r="AQ58" s="10">
        <f t="shared" si="15"/>
        <v>5.6494479028113042E-3</v>
      </c>
      <c r="AR58" s="10">
        <f t="shared" si="15"/>
        <v>5.6494479028113042E-3</v>
      </c>
      <c r="AS58" s="10">
        <f t="shared" si="15"/>
        <v>5.6494479028113042E-3</v>
      </c>
      <c r="AT58" s="10">
        <f t="shared" si="15"/>
        <v>5.6494479028113042E-3</v>
      </c>
      <c r="AU58" s="10">
        <f t="shared" si="15"/>
        <v>5.6494479028113042E-3</v>
      </c>
      <c r="AV58" s="10">
        <f t="shared" si="15"/>
        <v>5.6494479028113042E-3</v>
      </c>
      <c r="AW58" s="10">
        <f t="shared" si="15"/>
        <v>5.6494479028113042E-3</v>
      </c>
      <c r="AX58" s="10">
        <f t="shared" si="15"/>
        <v>5.6494479028113042E-3</v>
      </c>
      <c r="AY58" s="10">
        <f t="shared" si="15"/>
        <v>5.6494479028113042E-3</v>
      </c>
      <c r="AZ58" s="10">
        <f t="shared" si="15"/>
        <v>5.6494479028113042E-3</v>
      </c>
      <c r="BA58" s="10">
        <f t="shared" si="15"/>
        <v>5.6494479028113042E-3</v>
      </c>
      <c r="BB58" s="10">
        <f t="shared" si="15"/>
        <v>5.6494479028113042E-3</v>
      </c>
      <c r="BC58" s="10">
        <f t="shared" si="15"/>
        <v>5.6494479028113042E-3</v>
      </c>
      <c r="BD58" s="10">
        <f t="shared" si="15"/>
        <v>5.6494479028113042E-3</v>
      </c>
      <c r="BE58" s="10">
        <f t="shared" si="15"/>
        <v>5.6494479028113042E-3</v>
      </c>
      <c r="BF58" s="10">
        <f t="shared" si="15"/>
        <v>5.6494479028113042E-3</v>
      </c>
      <c r="BG58" s="10">
        <f t="shared" si="15"/>
        <v>5.6494479028113042E-3</v>
      </c>
      <c r="BH58" s="10">
        <f t="shared" si="15"/>
        <v>5.6494479028113042E-3</v>
      </c>
      <c r="BI58" s="10">
        <f t="shared" si="15"/>
        <v>5.6494479028113042E-3</v>
      </c>
    </row>
    <row r="59" spans="1:61" ht="30">
      <c r="A59" s="8" t="str">
        <f t="shared" ref="A59:A63" si="16">A45</f>
        <v>Pociąg blokowy (bezpośredni), 
trakcja spalinowa</v>
      </c>
      <c r="B59" s="129" t="s">
        <v>510</v>
      </c>
      <c r="C59" s="13"/>
      <c r="D59" s="13"/>
      <c r="E59" s="13"/>
      <c r="F59" s="13"/>
      <c r="G59" s="13"/>
      <c r="H59" s="13"/>
      <c r="I59" s="13"/>
      <c r="J59" s="13"/>
      <c r="K59" s="13"/>
      <c r="L59" s="13"/>
      <c r="M59" s="13"/>
      <c r="N59" s="13"/>
      <c r="O59" s="13"/>
      <c r="P59" s="13"/>
      <c r="Q59" s="93"/>
      <c r="R59" s="93"/>
      <c r="S59" s="10">
        <f>S45/$R$8</f>
        <v>6.8904375631454462E-3</v>
      </c>
      <c r="T59" s="10">
        <f t="shared" ref="T59:BI59" si="17">T45/$R$8</f>
        <v>7.0489176270977904E-3</v>
      </c>
      <c r="U59" s="10">
        <f t="shared" si="17"/>
        <v>7.2885808264191157E-3</v>
      </c>
      <c r="V59" s="10">
        <f t="shared" si="17"/>
        <v>7.6602984485664907E-3</v>
      </c>
      <c r="W59" s="10">
        <f t="shared" si="17"/>
        <v>7.6602984485664907E-3</v>
      </c>
      <c r="X59" s="10">
        <f t="shared" si="17"/>
        <v>7.6602984485664907E-3</v>
      </c>
      <c r="Y59" s="10">
        <f t="shared" si="17"/>
        <v>7.6602984485664907E-3</v>
      </c>
      <c r="Z59" s="10">
        <f t="shared" si="17"/>
        <v>7.6602984485664907E-3</v>
      </c>
      <c r="AA59" s="10">
        <f t="shared" si="17"/>
        <v>7.6602984485664907E-3</v>
      </c>
      <c r="AB59" s="10">
        <f t="shared" si="17"/>
        <v>7.6602984485664907E-3</v>
      </c>
      <c r="AC59" s="10">
        <f t="shared" si="17"/>
        <v>7.6602984485664907E-3</v>
      </c>
      <c r="AD59" s="10">
        <f t="shared" si="17"/>
        <v>7.6602984485664907E-3</v>
      </c>
      <c r="AE59" s="10">
        <f t="shared" si="17"/>
        <v>7.6602984485664907E-3</v>
      </c>
      <c r="AF59" s="10">
        <f t="shared" si="17"/>
        <v>7.6602984485664907E-3</v>
      </c>
      <c r="AG59" s="10">
        <f t="shared" si="17"/>
        <v>7.6602984485664907E-3</v>
      </c>
      <c r="AH59" s="10">
        <f t="shared" si="17"/>
        <v>7.6602984485664907E-3</v>
      </c>
      <c r="AI59" s="10">
        <f t="shared" si="17"/>
        <v>7.6602984485664907E-3</v>
      </c>
      <c r="AJ59" s="10">
        <f t="shared" si="17"/>
        <v>7.6602984485664907E-3</v>
      </c>
      <c r="AK59" s="10">
        <f t="shared" si="17"/>
        <v>7.6602984485664907E-3</v>
      </c>
      <c r="AL59" s="10">
        <f t="shared" si="17"/>
        <v>7.6602984485664907E-3</v>
      </c>
      <c r="AM59" s="10">
        <f t="shared" si="17"/>
        <v>7.6602984485664907E-3</v>
      </c>
      <c r="AN59" s="10">
        <f t="shared" si="17"/>
        <v>7.6602984485664907E-3</v>
      </c>
      <c r="AO59" s="10">
        <f t="shared" si="17"/>
        <v>7.6602984485664907E-3</v>
      </c>
      <c r="AP59" s="10">
        <f t="shared" si="17"/>
        <v>7.6602984485664907E-3</v>
      </c>
      <c r="AQ59" s="10">
        <f t="shared" si="17"/>
        <v>7.6602984485664907E-3</v>
      </c>
      <c r="AR59" s="10">
        <f t="shared" si="17"/>
        <v>7.6602984485664907E-3</v>
      </c>
      <c r="AS59" s="10">
        <f t="shared" si="17"/>
        <v>7.6602984485664907E-3</v>
      </c>
      <c r="AT59" s="10">
        <f t="shared" si="17"/>
        <v>7.6602984485664907E-3</v>
      </c>
      <c r="AU59" s="10">
        <f t="shared" si="17"/>
        <v>7.6602984485664907E-3</v>
      </c>
      <c r="AV59" s="10">
        <f t="shared" si="17"/>
        <v>7.6602984485664907E-3</v>
      </c>
      <c r="AW59" s="10">
        <f t="shared" si="17"/>
        <v>7.6602984485664907E-3</v>
      </c>
      <c r="AX59" s="10">
        <f t="shared" si="17"/>
        <v>7.6602984485664907E-3</v>
      </c>
      <c r="AY59" s="10">
        <f t="shared" si="17"/>
        <v>7.6602984485664907E-3</v>
      </c>
      <c r="AZ59" s="10">
        <f t="shared" si="17"/>
        <v>7.6602984485664907E-3</v>
      </c>
      <c r="BA59" s="10">
        <f t="shared" si="17"/>
        <v>7.6602984485664907E-3</v>
      </c>
      <c r="BB59" s="10">
        <f t="shared" si="17"/>
        <v>7.6602984485664907E-3</v>
      </c>
      <c r="BC59" s="10">
        <f t="shared" si="17"/>
        <v>7.6602984485664907E-3</v>
      </c>
      <c r="BD59" s="10">
        <f t="shared" si="17"/>
        <v>7.6602984485664907E-3</v>
      </c>
      <c r="BE59" s="10">
        <f t="shared" si="17"/>
        <v>7.6602984485664907E-3</v>
      </c>
      <c r="BF59" s="10">
        <f t="shared" si="17"/>
        <v>7.6602984485664907E-3</v>
      </c>
      <c r="BG59" s="10">
        <f t="shared" si="17"/>
        <v>7.6602984485664907E-3</v>
      </c>
      <c r="BH59" s="10">
        <f t="shared" si="17"/>
        <v>7.6602984485664907E-3</v>
      </c>
      <c r="BI59" s="10">
        <f t="shared" si="17"/>
        <v>7.6602984485664907E-3</v>
      </c>
    </row>
    <row r="60" spans="1:61" ht="30">
      <c r="A60" s="8" t="str">
        <f t="shared" si="16"/>
        <v>Pociąg grupowy, 
trakcja elektryczna</v>
      </c>
      <c r="B60" s="129" t="s">
        <v>510</v>
      </c>
      <c r="C60" s="13"/>
      <c r="D60" s="13"/>
      <c r="E60" s="13"/>
      <c r="F60" s="13"/>
      <c r="G60" s="13"/>
      <c r="H60" s="13"/>
      <c r="I60" s="13"/>
      <c r="J60" s="13"/>
      <c r="K60" s="13"/>
      <c r="L60" s="13"/>
      <c r="M60" s="13"/>
      <c r="N60" s="13"/>
      <c r="O60" s="13"/>
      <c r="P60" s="13"/>
      <c r="Q60" s="93"/>
      <c r="R60" s="93"/>
      <c r="S60" s="10">
        <f>S46/$T$8</f>
        <v>5.081677731218019E-3</v>
      </c>
      <c r="T60" s="10">
        <f t="shared" ref="T60:BI60" si="18">T46/$T$8</f>
        <v>5.1985563190360328E-3</v>
      </c>
      <c r="U60" s="10">
        <f t="shared" si="18"/>
        <v>5.3753072338832584E-3</v>
      </c>
      <c r="V60" s="10">
        <f t="shared" si="18"/>
        <v>5.6494479028113042E-3</v>
      </c>
      <c r="W60" s="10">
        <f t="shared" si="18"/>
        <v>5.6494479028113042E-3</v>
      </c>
      <c r="X60" s="10">
        <f t="shared" si="18"/>
        <v>5.6494479028113042E-3</v>
      </c>
      <c r="Y60" s="10">
        <f t="shared" si="18"/>
        <v>5.6494479028113042E-3</v>
      </c>
      <c r="Z60" s="10">
        <f t="shared" si="18"/>
        <v>5.6494479028113042E-3</v>
      </c>
      <c r="AA60" s="10">
        <f t="shared" si="18"/>
        <v>5.6494479028113042E-3</v>
      </c>
      <c r="AB60" s="10">
        <f t="shared" si="18"/>
        <v>5.6494479028113042E-3</v>
      </c>
      <c r="AC60" s="10">
        <f t="shared" si="18"/>
        <v>5.6494479028113042E-3</v>
      </c>
      <c r="AD60" s="10">
        <f t="shared" si="18"/>
        <v>5.6494479028113042E-3</v>
      </c>
      <c r="AE60" s="10">
        <f t="shared" si="18"/>
        <v>5.6494479028113042E-3</v>
      </c>
      <c r="AF60" s="10">
        <f t="shared" si="18"/>
        <v>5.6494479028113042E-3</v>
      </c>
      <c r="AG60" s="10">
        <f t="shared" si="18"/>
        <v>5.6494479028113042E-3</v>
      </c>
      <c r="AH60" s="10">
        <f t="shared" si="18"/>
        <v>5.6494479028113042E-3</v>
      </c>
      <c r="AI60" s="10">
        <f t="shared" si="18"/>
        <v>5.6494479028113042E-3</v>
      </c>
      <c r="AJ60" s="10">
        <f t="shared" si="18"/>
        <v>5.6494479028113042E-3</v>
      </c>
      <c r="AK60" s="10">
        <f t="shared" si="18"/>
        <v>5.6494479028113042E-3</v>
      </c>
      <c r="AL60" s="10">
        <f t="shared" si="18"/>
        <v>5.6494479028113042E-3</v>
      </c>
      <c r="AM60" s="10">
        <f t="shared" si="18"/>
        <v>5.6494479028113042E-3</v>
      </c>
      <c r="AN60" s="10">
        <f t="shared" si="18"/>
        <v>5.6494479028113042E-3</v>
      </c>
      <c r="AO60" s="10">
        <f t="shared" si="18"/>
        <v>5.6494479028113042E-3</v>
      </c>
      <c r="AP60" s="10">
        <f t="shared" si="18"/>
        <v>5.6494479028113042E-3</v>
      </c>
      <c r="AQ60" s="10">
        <f t="shared" si="18"/>
        <v>5.6494479028113042E-3</v>
      </c>
      <c r="AR60" s="10">
        <f t="shared" si="18"/>
        <v>5.6494479028113042E-3</v>
      </c>
      <c r="AS60" s="10">
        <f t="shared" si="18"/>
        <v>5.6494479028113042E-3</v>
      </c>
      <c r="AT60" s="10">
        <f t="shared" si="18"/>
        <v>5.6494479028113042E-3</v>
      </c>
      <c r="AU60" s="10">
        <f t="shared" si="18"/>
        <v>5.6494479028113042E-3</v>
      </c>
      <c r="AV60" s="10">
        <f t="shared" si="18"/>
        <v>5.6494479028113042E-3</v>
      </c>
      <c r="AW60" s="10">
        <f t="shared" si="18"/>
        <v>5.6494479028113042E-3</v>
      </c>
      <c r="AX60" s="10">
        <f t="shared" si="18"/>
        <v>5.6494479028113042E-3</v>
      </c>
      <c r="AY60" s="10">
        <f t="shared" si="18"/>
        <v>5.6494479028113042E-3</v>
      </c>
      <c r="AZ60" s="10">
        <f t="shared" si="18"/>
        <v>5.6494479028113042E-3</v>
      </c>
      <c r="BA60" s="10">
        <f t="shared" si="18"/>
        <v>5.6494479028113042E-3</v>
      </c>
      <c r="BB60" s="10">
        <f t="shared" si="18"/>
        <v>5.6494479028113042E-3</v>
      </c>
      <c r="BC60" s="10">
        <f t="shared" si="18"/>
        <v>5.6494479028113042E-3</v>
      </c>
      <c r="BD60" s="10">
        <f t="shared" si="18"/>
        <v>5.6494479028113042E-3</v>
      </c>
      <c r="BE60" s="10">
        <f t="shared" si="18"/>
        <v>5.6494479028113042E-3</v>
      </c>
      <c r="BF60" s="10">
        <f t="shared" si="18"/>
        <v>5.6494479028113042E-3</v>
      </c>
      <c r="BG60" s="10">
        <f t="shared" si="18"/>
        <v>5.6494479028113042E-3</v>
      </c>
      <c r="BH60" s="10">
        <f t="shared" si="18"/>
        <v>5.6494479028113042E-3</v>
      </c>
      <c r="BI60" s="10">
        <f t="shared" si="18"/>
        <v>5.6494479028113042E-3</v>
      </c>
    </row>
    <row r="61" spans="1:61" ht="30">
      <c r="A61" s="8" t="str">
        <f t="shared" si="16"/>
        <v>Pociąg grupowy, 
trakcja spalinowa</v>
      </c>
      <c r="B61" s="129" t="s">
        <v>510</v>
      </c>
      <c r="C61" s="13"/>
      <c r="D61" s="13"/>
      <c r="E61" s="13"/>
      <c r="F61" s="13"/>
      <c r="G61" s="13"/>
      <c r="H61" s="13"/>
      <c r="I61" s="13"/>
      <c r="J61" s="13"/>
      <c r="K61" s="13"/>
      <c r="L61" s="13"/>
      <c r="M61" s="13"/>
      <c r="N61" s="13"/>
      <c r="O61" s="13"/>
      <c r="P61" s="13"/>
      <c r="Q61" s="93"/>
      <c r="R61" s="93"/>
      <c r="S61" s="10">
        <f>S47/$V$8</f>
        <v>6.8904375631454462E-3</v>
      </c>
      <c r="T61" s="10">
        <f t="shared" ref="T61:BI61" si="19">T47/$V$8</f>
        <v>7.0489176270977904E-3</v>
      </c>
      <c r="U61" s="10">
        <f t="shared" si="19"/>
        <v>7.2885808264191157E-3</v>
      </c>
      <c r="V61" s="10">
        <f t="shared" si="19"/>
        <v>7.6602984485664907E-3</v>
      </c>
      <c r="W61" s="10">
        <f t="shared" si="19"/>
        <v>7.6602984485664907E-3</v>
      </c>
      <c r="X61" s="10">
        <f t="shared" si="19"/>
        <v>7.6602984485664907E-3</v>
      </c>
      <c r="Y61" s="10">
        <f t="shared" si="19"/>
        <v>7.6602984485664907E-3</v>
      </c>
      <c r="Z61" s="10">
        <f t="shared" si="19"/>
        <v>7.6602984485664907E-3</v>
      </c>
      <c r="AA61" s="10">
        <f t="shared" si="19"/>
        <v>7.6602984485664907E-3</v>
      </c>
      <c r="AB61" s="10">
        <f t="shared" si="19"/>
        <v>7.6602984485664907E-3</v>
      </c>
      <c r="AC61" s="10">
        <f t="shared" si="19"/>
        <v>7.6602984485664907E-3</v>
      </c>
      <c r="AD61" s="10">
        <f t="shared" si="19"/>
        <v>7.6602984485664907E-3</v>
      </c>
      <c r="AE61" s="10">
        <f t="shared" si="19"/>
        <v>7.6602984485664907E-3</v>
      </c>
      <c r="AF61" s="10">
        <f t="shared" si="19"/>
        <v>7.6602984485664907E-3</v>
      </c>
      <c r="AG61" s="10">
        <f t="shared" si="19"/>
        <v>7.6602984485664907E-3</v>
      </c>
      <c r="AH61" s="10">
        <f t="shared" si="19"/>
        <v>7.6602984485664907E-3</v>
      </c>
      <c r="AI61" s="10">
        <f t="shared" si="19"/>
        <v>7.6602984485664907E-3</v>
      </c>
      <c r="AJ61" s="10">
        <f t="shared" si="19"/>
        <v>7.6602984485664907E-3</v>
      </c>
      <c r="AK61" s="10">
        <f t="shared" si="19"/>
        <v>7.6602984485664907E-3</v>
      </c>
      <c r="AL61" s="10">
        <f t="shared" si="19"/>
        <v>7.6602984485664907E-3</v>
      </c>
      <c r="AM61" s="10">
        <f t="shared" si="19"/>
        <v>7.6602984485664907E-3</v>
      </c>
      <c r="AN61" s="10">
        <f t="shared" si="19"/>
        <v>7.6602984485664907E-3</v>
      </c>
      <c r="AO61" s="10">
        <f t="shared" si="19"/>
        <v>7.6602984485664907E-3</v>
      </c>
      <c r="AP61" s="10">
        <f t="shared" si="19"/>
        <v>7.6602984485664907E-3</v>
      </c>
      <c r="AQ61" s="10">
        <f t="shared" si="19"/>
        <v>7.6602984485664907E-3</v>
      </c>
      <c r="AR61" s="10">
        <f t="shared" si="19"/>
        <v>7.6602984485664907E-3</v>
      </c>
      <c r="AS61" s="10">
        <f t="shared" si="19"/>
        <v>7.6602984485664907E-3</v>
      </c>
      <c r="AT61" s="10">
        <f t="shared" si="19"/>
        <v>7.6602984485664907E-3</v>
      </c>
      <c r="AU61" s="10">
        <f t="shared" si="19"/>
        <v>7.6602984485664907E-3</v>
      </c>
      <c r="AV61" s="10">
        <f t="shared" si="19"/>
        <v>7.6602984485664907E-3</v>
      </c>
      <c r="AW61" s="10">
        <f t="shared" si="19"/>
        <v>7.6602984485664907E-3</v>
      </c>
      <c r="AX61" s="10">
        <f t="shared" si="19"/>
        <v>7.6602984485664907E-3</v>
      </c>
      <c r="AY61" s="10">
        <f t="shared" si="19"/>
        <v>7.6602984485664907E-3</v>
      </c>
      <c r="AZ61" s="10">
        <f t="shared" si="19"/>
        <v>7.6602984485664907E-3</v>
      </c>
      <c r="BA61" s="10">
        <f t="shared" si="19"/>
        <v>7.6602984485664907E-3</v>
      </c>
      <c r="BB61" s="10">
        <f t="shared" si="19"/>
        <v>7.6602984485664907E-3</v>
      </c>
      <c r="BC61" s="10">
        <f t="shared" si="19"/>
        <v>7.6602984485664907E-3</v>
      </c>
      <c r="BD61" s="10">
        <f t="shared" si="19"/>
        <v>7.6602984485664907E-3</v>
      </c>
      <c r="BE61" s="10">
        <f t="shared" si="19"/>
        <v>7.6602984485664907E-3</v>
      </c>
      <c r="BF61" s="10">
        <f t="shared" si="19"/>
        <v>7.6602984485664907E-3</v>
      </c>
      <c r="BG61" s="10">
        <f t="shared" si="19"/>
        <v>7.6602984485664907E-3</v>
      </c>
      <c r="BH61" s="10">
        <f t="shared" si="19"/>
        <v>7.6602984485664907E-3</v>
      </c>
      <c r="BI61" s="10">
        <f t="shared" si="19"/>
        <v>7.6602984485664907E-3</v>
      </c>
    </row>
    <row r="62" spans="1:61" ht="45">
      <c r="A62" s="8" t="str">
        <f t="shared" si="16"/>
        <v>Pociąg kontenerowy, intermodalny, 
trakcja elektryczna</v>
      </c>
      <c r="B62" s="129" t="s">
        <v>510</v>
      </c>
      <c r="C62" s="13"/>
      <c r="D62" s="13"/>
      <c r="E62" s="13"/>
      <c r="F62" s="13"/>
      <c r="G62" s="13"/>
      <c r="H62" s="13"/>
      <c r="I62" s="13"/>
      <c r="J62" s="13"/>
      <c r="K62" s="13"/>
      <c r="L62" s="13"/>
      <c r="M62" s="13"/>
      <c r="N62" s="13"/>
      <c r="O62" s="13"/>
      <c r="P62" s="13"/>
      <c r="Q62" s="93"/>
      <c r="R62" s="93"/>
      <c r="S62" s="10">
        <f>S48/$X$8</f>
        <v>6.2557837774200155E-3</v>
      </c>
      <c r="T62" s="10">
        <f t="shared" ref="T62:BI62" si="20">T48/$X$8</f>
        <v>6.3996668043006756E-3</v>
      </c>
      <c r="U62" s="10">
        <f t="shared" si="20"/>
        <v>6.6172554756468993E-3</v>
      </c>
      <c r="V62" s="10">
        <f t="shared" si="20"/>
        <v>6.9547355049048906E-3</v>
      </c>
      <c r="W62" s="10">
        <f t="shared" si="20"/>
        <v>6.9547355049048906E-3</v>
      </c>
      <c r="X62" s="10">
        <f t="shared" si="20"/>
        <v>6.9547355049048906E-3</v>
      </c>
      <c r="Y62" s="10">
        <f t="shared" si="20"/>
        <v>6.9547355049048906E-3</v>
      </c>
      <c r="Z62" s="10">
        <f t="shared" si="20"/>
        <v>6.9547355049048906E-3</v>
      </c>
      <c r="AA62" s="10">
        <f t="shared" si="20"/>
        <v>6.9547355049048906E-3</v>
      </c>
      <c r="AB62" s="10">
        <f t="shared" si="20"/>
        <v>6.9547355049048906E-3</v>
      </c>
      <c r="AC62" s="10">
        <f t="shared" si="20"/>
        <v>6.9547355049048906E-3</v>
      </c>
      <c r="AD62" s="10">
        <f t="shared" si="20"/>
        <v>6.9547355049048906E-3</v>
      </c>
      <c r="AE62" s="10">
        <f t="shared" si="20"/>
        <v>6.9547355049048906E-3</v>
      </c>
      <c r="AF62" s="10">
        <f t="shared" si="20"/>
        <v>6.9547355049048906E-3</v>
      </c>
      <c r="AG62" s="10">
        <f t="shared" si="20"/>
        <v>6.9547355049048906E-3</v>
      </c>
      <c r="AH62" s="10">
        <f t="shared" si="20"/>
        <v>6.9547355049048906E-3</v>
      </c>
      <c r="AI62" s="10">
        <f t="shared" si="20"/>
        <v>6.9547355049048906E-3</v>
      </c>
      <c r="AJ62" s="10">
        <f t="shared" si="20"/>
        <v>6.9547355049048906E-3</v>
      </c>
      <c r="AK62" s="10">
        <f t="shared" si="20"/>
        <v>6.9547355049048906E-3</v>
      </c>
      <c r="AL62" s="10">
        <f t="shared" si="20"/>
        <v>6.9547355049048906E-3</v>
      </c>
      <c r="AM62" s="10">
        <f t="shared" si="20"/>
        <v>6.9547355049048906E-3</v>
      </c>
      <c r="AN62" s="10">
        <f t="shared" si="20"/>
        <v>6.9547355049048906E-3</v>
      </c>
      <c r="AO62" s="10">
        <f t="shared" si="20"/>
        <v>6.9547355049048906E-3</v>
      </c>
      <c r="AP62" s="10">
        <f t="shared" si="20"/>
        <v>6.9547355049048906E-3</v>
      </c>
      <c r="AQ62" s="10">
        <f t="shared" si="20"/>
        <v>6.9547355049048906E-3</v>
      </c>
      <c r="AR62" s="10">
        <f t="shared" si="20"/>
        <v>6.9547355049048906E-3</v>
      </c>
      <c r="AS62" s="10">
        <f t="shared" si="20"/>
        <v>6.9547355049048906E-3</v>
      </c>
      <c r="AT62" s="10">
        <f t="shared" si="20"/>
        <v>6.9547355049048906E-3</v>
      </c>
      <c r="AU62" s="10">
        <f t="shared" si="20"/>
        <v>6.9547355049048906E-3</v>
      </c>
      <c r="AV62" s="10">
        <f t="shared" si="20"/>
        <v>6.9547355049048906E-3</v>
      </c>
      <c r="AW62" s="10">
        <f t="shared" si="20"/>
        <v>6.9547355049048906E-3</v>
      </c>
      <c r="AX62" s="10">
        <f t="shared" si="20"/>
        <v>6.9547355049048906E-3</v>
      </c>
      <c r="AY62" s="10">
        <f t="shared" si="20"/>
        <v>6.9547355049048906E-3</v>
      </c>
      <c r="AZ62" s="10">
        <f t="shared" si="20"/>
        <v>6.9547355049048906E-3</v>
      </c>
      <c r="BA62" s="10">
        <f t="shared" si="20"/>
        <v>6.9547355049048906E-3</v>
      </c>
      <c r="BB62" s="10">
        <f t="shared" si="20"/>
        <v>6.9547355049048906E-3</v>
      </c>
      <c r="BC62" s="10">
        <f t="shared" si="20"/>
        <v>6.9547355049048906E-3</v>
      </c>
      <c r="BD62" s="10">
        <f t="shared" si="20"/>
        <v>6.9547355049048906E-3</v>
      </c>
      <c r="BE62" s="10">
        <f t="shared" si="20"/>
        <v>6.9547355049048906E-3</v>
      </c>
      <c r="BF62" s="10">
        <f t="shared" si="20"/>
        <v>6.9547355049048906E-3</v>
      </c>
      <c r="BG62" s="10">
        <f t="shared" si="20"/>
        <v>6.9547355049048906E-3</v>
      </c>
      <c r="BH62" s="10">
        <f t="shared" si="20"/>
        <v>6.9547355049048906E-3</v>
      </c>
      <c r="BI62" s="10">
        <f t="shared" si="20"/>
        <v>6.9547355049048906E-3</v>
      </c>
    </row>
    <row r="63" spans="1:61" ht="45">
      <c r="A63" s="8" t="str">
        <f t="shared" si="16"/>
        <v>Pociąg kontenerowy, intermodalny, 
trakcja spalinowa</v>
      </c>
      <c r="B63" s="129" t="s">
        <v>510</v>
      </c>
      <c r="C63" s="13"/>
      <c r="D63" s="13"/>
      <c r="E63" s="13"/>
      <c r="F63" s="13"/>
      <c r="G63" s="13"/>
      <c r="H63" s="13"/>
      <c r="I63" s="13"/>
      <c r="J63" s="13"/>
      <c r="K63" s="13"/>
      <c r="L63" s="13"/>
      <c r="M63" s="13"/>
      <c r="N63" s="13"/>
      <c r="O63" s="13"/>
      <c r="P63" s="13"/>
      <c r="Q63" s="93"/>
      <c r="R63" s="93"/>
      <c r="S63" s="10">
        <f>S49/$Z$8</f>
        <v>8.4509046687410178E-3</v>
      </c>
      <c r="T63" s="10">
        <f t="shared" ref="T63:BI63" si="21">T49/$Z$8</f>
        <v>8.6452754761220611E-3</v>
      </c>
      <c r="U63" s="10">
        <f t="shared" si="21"/>
        <v>8.9392148423102103E-3</v>
      </c>
      <c r="V63" s="10">
        <f t="shared" si="21"/>
        <v>9.3951147992680315E-3</v>
      </c>
      <c r="W63" s="10">
        <f t="shared" si="21"/>
        <v>9.3951147992680315E-3</v>
      </c>
      <c r="X63" s="10">
        <f t="shared" si="21"/>
        <v>9.3951147992680315E-3</v>
      </c>
      <c r="Y63" s="10">
        <f t="shared" si="21"/>
        <v>9.3951147992680315E-3</v>
      </c>
      <c r="Z63" s="10">
        <f t="shared" si="21"/>
        <v>9.3951147992680315E-3</v>
      </c>
      <c r="AA63" s="10">
        <f t="shared" si="21"/>
        <v>9.3951147992680315E-3</v>
      </c>
      <c r="AB63" s="10">
        <f t="shared" si="21"/>
        <v>9.3951147992680315E-3</v>
      </c>
      <c r="AC63" s="10">
        <f t="shared" si="21"/>
        <v>9.3951147992680315E-3</v>
      </c>
      <c r="AD63" s="10">
        <f t="shared" si="21"/>
        <v>9.3951147992680315E-3</v>
      </c>
      <c r="AE63" s="10">
        <f t="shared" si="21"/>
        <v>9.3951147992680315E-3</v>
      </c>
      <c r="AF63" s="10">
        <f t="shared" si="21"/>
        <v>9.3951147992680315E-3</v>
      </c>
      <c r="AG63" s="10">
        <f t="shared" si="21"/>
        <v>9.3951147992680315E-3</v>
      </c>
      <c r="AH63" s="10">
        <f t="shared" si="21"/>
        <v>9.3951147992680315E-3</v>
      </c>
      <c r="AI63" s="10">
        <f t="shared" si="21"/>
        <v>9.3951147992680315E-3</v>
      </c>
      <c r="AJ63" s="10">
        <f t="shared" si="21"/>
        <v>9.3951147992680315E-3</v>
      </c>
      <c r="AK63" s="10">
        <f t="shared" si="21"/>
        <v>9.3951147992680315E-3</v>
      </c>
      <c r="AL63" s="10">
        <f t="shared" si="21"/>
        <v>9.3951147992680315E-3</v>
      </c>
      <c r="AM63" s="10">
        <f t="shared" si="21"/>
        <v>9.3951147992680315E-3</v>
      </c>
      <c r="AN63" s="10">
        <f t="shared" si="21"/>
        <v>9.3951147992680315E-3</v>
      </c>
      <c r="AO63" s="10">
        <f t="shared" si="21"/>
        <v>9.3951147992680315E-3</v>
      </c>
      <c r="AP63" s="10">
        <f t="shared" si="21"/>
        <v>9.3951147992680315E-3</v>
      </c>
      <c r="AQ63" s="10">
        <f t="shared" si="21"/>
        <v>9.3951147992680315E-3</v>
      </c>
      <c r="AR63" s="10">
        <f t="shared" si="21"/>
        <v>9.3951147992680315E-3</v>
      </c>
      <c r="AS63" s="10">
        <f t="shared" si="21"/>
        <v>9.3951147992680315E-3</v>
      </c>
      <c r="AT63" s="10">
        <f t="shared" si="21"/>
        <v>9.3951147992680315E-3</v>
      </c>
      <c r="AU63" s="10">
        <f t="shared" si="21"/>
        <v>9.3951147992680315E-3</v>
      </c>
      <c r="AV63" s="10">
        <f t="shared" si="21"/>
        <v>9.3951147992680315E-3</v>
      </c>
      <c r="AW63" s="10">
        <f t="shared" si="21"/>
        <v>9.3951147992680315E-3</v>
      </c>
      <c r="AX63" s="10">
        <f t="shared" si="21"/>
        <v>9.3951147992680315E-3</v>
      </c>
      <c r="AY63" s="10">
        <f t="shared" si="21"/>
        <v>9.3951147992680315E-3</v>
      </c>
      <c r="AZ63" s="10">
        <f t="shared" si="21"/>
        <v>9.3951147992680315E-3</v>
      </c>
      <c r="BA63" s="10">
        <f t="shared" si="21"/>
        <v>9.3951147992680315E-3</v>
      </c>
      <c r="BB63" s="10">
        <f t="shared" si="21"/>
        <v>9.3951147992680315E-3</v>
      </c>
      <c r="BC63" s="10">
        <f t="shared" si="21"/>
        <v>9.3951147992680315E-3</v>
      </c>
      <c r="BD63" s="10">
        <f t="shared" si="21"/>
        <v>9.3951147992680315E-3</v>
      </c>
      <c r="BE63" s="10">
        <f t="shared" si="21"/>
        <v>9.3951147992680315E-3</v>
      </c>
      <c r="BF63" s="10">
        <f t="shared" si="21"/>
        <v>9.3951147992680315E-3</v>
      </c>
      <c r="BG63" s="10">
        <f t="shared" si="21"/>
        <v>9.3951147992680315E-3</v>
      </c>
      <c r="BH63" s="10">
        <f t="shared" si="21"/>
        <v>9.3951147992680315E-3</v>
      </c>
      <c r="BI63" s="10">
        <f t="shared" si="21"/>
        <v>9.3951147992680315E-3</v>
      </c>
    </row>
    <row r="64" spans="1:61" ht="15" customHeight="1"/>
  </sheetData>
  <mergeCells count="51">
    <mergeCell ref="A39:V40"/>
    <mergeCell ref="A42:A43"/>
    <mergeCell ref="P17:Q17"/>
    <mergeCell ref="R17:S17"/>
    <mergeCell ref="T17:U17"/>
    <mergeCell ref="V17:W17"/>
    <mergeCell ref="A30:V31"/>
    <mergeCell ref="X17:Y17"/>
    <mergeCell ref="Z17:AA17"/>
    <mergeCell ref="P15:S15"/>
    <mergeCell ref="T15:W15"/>
    <mergeCell ref="X15:AA15"/>
    <mergeCell ref="P16:Q16"/>
    <mergeCell ref="R16:S16"/>
    <mergeCell ref="T16:U16"/>
    <mergeCell ref="V16:W16"/>
    <mergeCell ref="X16:Y16"/>
    <mergeCell ref="Z16:AA16"/>
    <mergeCell ref="Z10:AA10"/>
    <mergeCell ref="P9:Q9"/>
    <mergeCell ref="R9:S9"/>
    <mergeCell ref="T9:U9"/>
    <mergeCell ref="V9:W9"/>
    <mergeCell ref="X9:Y9"/>
    <mergeCell ref="Z9:AA9"/>
    <mergeCell ref="P10:Q10"/>
    <mergeCell ref="R10:S10"/>
    <mergeCell ref="T10:U10"/>
    <mergeCell ref="V10:W10"/>
    <mergeCell ref="X10:Y10"/>
    <mergeCell ref="Z8:AA8"/>
    <mergeCell ref="P7:Q7"/>
    <mergeCell ref="R7:S7"/>
    <mergeCell ref="T7:U7"/>
    <mergeCell ref="V7:W7"/>
    <mergeCell ref="X7:Y7"/>
    <mergeCell ref="Z7:AA7"/>
    <mergeCell ref="P8:Q8"/>
    <mergeCell ref="R8:S8"/>
    <mergeCell ref="T8:U8"/>
    <mergeCell ref="V8:W8"/>
    <mergeCell ref="X8:Y8"/>
    <mergeCell ref="P5:S5"/>
    <mergeCell ref="T5:W5"/>
    <mergeCell ref="X5:AA5"/>
    <mergeCell ref="P6:Q6"/>
    <mergeCell ref="R6:S6"/>
    <mergeCell ref="T6:U6"/>
    <mergeCell ref="V6:W6"/>
    <mergeCell ref="X6:Y6"/>
    <mergeCell ref="Z6:AA6"/>
  </mergeCells>
  <hyperlinks>
    <hyperlink ref="A32" location="Indeksacja!A29" display="Nota metodologiczn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8" width="9.140625" customWidth="1"/>
    <col min="19" max="19" width="13.7109375" customWidth="1"/>
    <col min="20" max="20" width="12.7109375" customWidth="1"/>
    <col min="21" max="25" width="13.7109375" customWidth="1"/>
    <col min="26" max="62" width="9.140625" customWidth="1"/>
    <col min="63" max="16384" width="9.140625" hidden="1"/>
  </cols>
  <sheetData>
    <row r="1" spans="1:62" ht="21">
      <c r="A1" s="4" t="s">
        <v>46</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30" t="str">
        <f>Indeksacja!$A$2</f>
        <v>Dla roku bazowego 2022 właściwe do zastosowania w analizie są wartości kosztów jednostkowych określone według poziomu cenowego z końca roku poprzedniego, tzn. 2021.</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row>
    <row r="3" spans="1:62">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row>
    <row r="4" spans="1:62">
      <c r="A4" s="206" t="str">
        <f>'VOC eksploatacja samochody'!$A$4</f>
        <v>Prognoza zmian struktury floty pojazdów drogowych w Polsce pod względem rodzaju paliwa</v>
      </c>
      <c r="B4" s="330"/>
      <c r="C4" s="330"/>
      <c r="D4" s="330"/>
      <c r="E4" s="330"/>
      <c r="F4" s="330"/>
      <c r="G4" s="330"/>
      <c r="H4" s="330"/>
      <c r="I4" s="330"/>
      <c r="J4" s="330"/>
      <c r="K4" s="330"/>
      <c r="L4" s="330"/>
      <c r="M4" s="330"/>
      <c r="N4" s="330"/>
      <c r="O4" s="330"/>
      <c r="P4" s="330"/>
      <c r="Q4" s="330"/>
      <c r="R4" s="330"/>
      <c r="S4" s="330"/>
      <c r="U4" s="330"/>
      <c r="V4" s="330"/>
      <c r="W4" s="330"/>
      <c r="X4" s="330"/>
      <c r="Y4" s="330"/>
      <c r="Z4" s="330"/>
      <c r="AA4" s="330"/>
      <c r="AB4" s="330"/>
      <c r="AC4" s="330"/>
      <c r="AD4" s="330"/>
      <c r="AF4" s="330"/>
      <c r="AG4" s="330"/>
      <c r="AH4" s="330"/>
      <c r="AI4" s="330"/>
      <c r="AJ4" s="330"/>
      <c r="AK4" s="330"/>
      <c r="AL4" s="330"/>
      <c r="AM4" s="330"/>
      <c r="AN4" s="330"/>
      <c r="AO4" s="330"/>
      <c r="AP4" s="330"/>
      <c r="AQ4" s="330"/>
      <c r="AR4" s="330"/>
      <c r="AS4" s="330"/>
      <c r="AT4" s="330"/>
      <c r="AU4" s="330"/>
      <c r="AV4" s="330"/>
      <c r="AW4" s="330"/>
      <c r="AX4" s="330"/>
      <c r="AZ4" s="330"/>
      <c r="BA4" s="330"/>
      <c r="BB4" s="330"/>
      <c r="BC4" s="330"/>
      <c r="BD4" s="330"/>
      <c r="BE4" s="330"/>
      <c r="BF4" s="330"/>
      <c r="BG4" s="330"/>
      <c r="BH4" s="330"/>
      <c r="BI4" s="330"/>
    </row>
    <row r="5" spans="1:62">
      <c r="A5" s="330"/>
      <c r="B5" s="330"/>
      <c r="C5" s="330"/>
      <c r="D5" s="330"/>
      <c r="E5" s="330"/>
      <c r="F5" s="330"/>
      <c r="G5" s="330"/>
      <c r="H5" s="330"/>
      <c r="I5" s="330"/>
      <c r="J5" s="330"/>
      <c r="K5" s="330"/>
      <c r="L5" s="330"/>
      <c r="M5" s="330"/>
      <c r="N5" s="330"/>
      <c r="O5" s="330"/>
      <c r="P5" s="330"/>
      <c r="Q5" s="330"/>
      <c r="R5" s="330"/>
      <c r="S5" s="330"/>
      <c r="U5" s="330"/>
      <c r="V5" s="330"/>
      <c r="W5" s="330"/>
      <c r="X5" s="330"/>
      <c r="Y5" s="330"/>
      <c r="Z5" s="330"/>
      <c r="AA5" s="330"/>
      <c r="AB5" s="330"/>
      <c r="AC5" s="330"/>
      <c r="AD5" s="330"/>
      <c r="AF5" s="330"/>
      <c r="AG5" s="35"/>
      <c r="AH5" s="330"/>
      <c r="AI5" s="330"/>
      <c r="AJ5" s="330"/>
      <c r="AK5" s="330"/>
      <c r="AL5" s="330"/>
      <c r="AM5" s="330"/>
      <c r="AN5" s="330"/>
      <c r="AO5" s="330"/>
      <c r="AP5" s="330"/>
      <c r="AQ5" s="330"/>
      <c r="AR5" s="330"/>
      <c r="AS5" s="330"/>
      <c r="AT5" s="330"/>
      <c r="AU5" s="330"/>
      <c r="AV5" s="330"/>
      <c r="AW5" s="330"/>
      <c r="AX5" s="330"/>
      <c r="AZ5" s="330"/>
      <c r="BA5" s="330"/>
      <c r="BB5" s="330"/>
      <c r="BC5" s="330"/>
      <c r="BD5" s="330"/>
      <c r="BE5" s="330"/>
      <c r="BF5" s="330"/>
      <c r="BG5" s="330"/>
      <c r="BH5" s="330"/>
      <c r="BI5" s="330"/>
    </row>
    <row r="6" spans="1:62">
      <c r="A6" s="185" t="str">
        <f>'VOC eksploatacja samochody'!$A$48</f>
        <v>Struktura floty pojazdów LV</v>
      </c>
      <c r="B6" s="330"/>
      <c r="C6" s="330"/>
      <c r="D6" s="330"/>
      <c r="E6" s="330"/>
      <c r="F6" s="330"/>
      <c r="G6" s="330"/>
      <c r="H6" s="330"/>
      <c r="I6" s="330"/>
      <c r="J6" s="330"/>
      <c r="K6" s="330"/>
      <c r="L6" s="330"/>
      <c r="M6" s="330"/>
      <c r="N6" s="330"/>
      <c r="O6" s="330"/>
      <c r="P6" s="330"/>
      <c r="Q6" s="330"/>
      <c r="R6" s="330"/>
      <c r="S6" s="330"/>
    </row>
    <row r="7" spans="1:62">
      <c r="A7" s="9" t="s">
        <v>90</v>
      </c>
      <c r="B7" s="685"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74" t="s">
        <v>609</v>
      </c>
      <c r="B8" s="189"/>
      <c r="C8" s="189"/>
      <c r="D8" s="189"/>
      <c r="E8" s="189"/>
      <c r="F8" s="189"/>
      <c r="G8" s="189"/>
      <c r="H8" s="189"/>
      <c r="I8" s="189"/>
      <c r="J8" s="189"/>
      <c r="K8" s="189"/>
      <c r="L8" s="189"/>
      <c r="M8" s="189"/>
      <c r="N8" s="189"/>
      <c r="O8" s="189"/>
      <c r="P8" s="189"/>
      <c r="Q8" s="189"/>
      <c r="R8" s="189"/>
      <c r="S8" s="190"/>
      <c r="T8" s="191">
        <f>'VOC eksploatacja samochody'!T50</f>
        <v>1</v>
      </c>
      <c r="U8" s="192">
        <f>'VOC eksploatacja samochody'!U50</f>
        <v>0.99290909090909085</v>
      </c>
      <c r="V8" s="188">
        <f>'VOC eksploatacja samochody'!V50</f>
        <v>0.9858181818181817</v>
      </c>
      <c r="W8" s="188">
        <f>'VOC eksploatacja samochody'!W50</f>
        <v>0.97872727272727256</v>
      </c>
      <c r="X8" s="188">
        <f>'VOC eksploatacja samochody'!X50</f>
        <v>0.97163636363636341</v>
      </c>
      <c r="Y8" s="188">
        <f>'VOC eksploatacja samochody'!Y50</f>
        <v>0.96454545454545426</v>
      </c>
      <c r="Z8" s="188">
        <f>'VOC eksploatacja samochody'!Z50</f>
        <v>0.95745454545454511</v>
      </c>
      <c r="AA8" s="188">
        <f>'VOC eksploatacja samochody'!AA50</f>
        <v>0.95036363636363597</v>
      </c>
      <c r="AB8" s="188">
        <f>'VOC eksploatacja samochody'!AB50</f>
        <v>0.94327272727272682</v>
      </c>
      <c r="AC8" s="188">
        <f>'VOC eksploatacja samochody'!AC50</f>
        <v>0.93618181818181767</v>
      </c>
      <c r="AD8" s="188">
        <f>'VOC eksploatacja samochody'!AD50</f>
        <v>0.92909090909090852</v>
      </c>
      <c r="AE8" s="191">
        <f>'VOC eksploatacja samochody'!AE50</f>
        <v>0.92199999999999993</v>
      </c>
      <c r="AF8" s="188">
        <f>'VOC eksploatacja samochody'!AF50</f>
        <v>0.90934999999999988</v>
      </c>
      <c r="AG8" s="188">
        <f>'VOC eksploatacja samochody'!AG50</f>
        <v>0.89669999999999983</v>
      </c>
      <c r="AH8" s="188">
        <f>'VOC eksploatacja samochody'!AH50</f>
        <v>0.88404999999999978</v>
      </c>
      <c r="AI8" s="188">
        <f>'VOC eksploatacja samochody'!AI50</f>
        <v>0.87139999999999973</v>
      </c>
      <c r="AJ8" s="188">
        <f>'VOC eksploatacja samochody'!AJ50</f>
        <v>0.85874999999999968</v>
      </c>
      <c r="AK8" s="188">
        <f>'VOC eksploatacja samochody'!AK50</f>
        <v>0.84609999999999963</v>
      </c>
      <c r="AL8" s="188">
        <f>'VOC eksploatacja samochody'!AL50</f>
        <v>0.83344999999999958</v>
      </c>
      <c r="AM8" s="188">
        <f>'VOC eksploatacja samochody'!AM50</f>
        <v>0.82079999999999953</v>
      </c>
      <c r="AN8" s="188">
        <f>'VOC eksploatacja samochody'!AN50</f>
        <v>0.80814999999999948</v>
      </c>
      <c r="AO8" s="188">
        <f>'VOC eksploatacja samochody'!AO50</f>
        <v>0.79549999999999943</v>
      </c>
      <c r="AP8" s="188">
        <f>'VOC eksploatacja samochody'!AP50</f>
        <v>0.78284999999999938</v>
      </c>
      <c r="AQ8" s="188">
        <f>'VOC eksploatacja samochody'!AQ50</f>
        <v>0.77019999999999933</v>
      </c>
      <c r="AR8" s="188">
        <f>'VOC eksploatacja samochody'!AR50</f>
        <v>0.75754999999999928</v>
      </c>
      <c r="AS8" s="188">
        <f>'VOC eksploatacja samochody'!AS50</f>
        <v>0.74489999999999923</v>
      </c>
      <c r="AT8" s="188">
        <f>'VOC eksploatacja samochody'!AT50</f>
        <v>0.73224999999999918</v>
      </c>
      <c r="AU8" s="188">
        <f>'VOC eksploatacja samochody'!AU50</f>
        <v>0.71959999999999913</v>
      </c>
      <c r="AV8" s="188">
        <f>'VOC eksploatacja samochody'!AV50</f>
        <v>0.70694999999999908</v>
      </c>
      <c r="AW8" s="188">
        <f>'VOC eksploatacja samochody'!AW50</f>
        <v>0.69429999999999903</v>
      </c>
      <c r="AX8" s="188">
        <f>'VOC eksploatacja samochody'!AX50</f>
        <v>0.68164999999999898</v>
      </c>
      <c r="AY8" s="191">
        <f>'VOC eksploatacja samochody'!AY50</f>
        <v>0.66900000000000004</v>
      </c>
      <c r="AZ8" s="188">
        <f>'VOC eksploatacja samochody'!AZ50</f>
        <v>0.66900000000000004</v>
      </c>
      <c r="BA8" s="188">
        <f>'VOC eksploatacja samochody'!BA50</f>
        <v>0.66900000000000004</v>
      </c>
      <c r="BB8" s="188">
        <f>'VOC eksploatacja samochody'!BB50</f>
        <v>0.66900000000000004</v>
      </c>
      <c r="BC8" s="188">
        <f>'VOC eksploatacja samochody'!BC50</f>
        <v>0.66900000000000004</v>
      </c>
      <c r="BD8" s="188">
        <f>'VOC eksploatacja samochody'!BD50</f>
        <v>0.66900000000000004</v>
      </c>
      <c r="BE8" s="188">
        <f>'VOC eksploatacja samochody'!BE50</f>
        <v>0.66900000000000004</v>
      </c>
      <c r="BF8" s="188">
        <f>'VOC eksploatacja samochody'!BF50</f>
        <v>0.66900000000000004</v>
      </c>
      <c r="BG8" s="188">
        <f>'VOC eksploatacja samochody'!BG50</f>
        <v>0.66900000000000004</v>
      </c>
      <c r="BH8" s="188">
        <f>'VOC eksploatacja samochody'!BH50</f>
        <v>0.66900000000000004</v>
      </c>
      <c r="BI8" s="188">
        <f>'VOC eksploatacja samochody'!BI50</f>
        <v>0.66900000000000004</v>
      </c>
      <c r="BJ8" s="188">
        <f>'VOC eksploatacja samochody'!BJ50</f>
        <v>0.66900000000000004</v>
      </c>
    </row>
    <row r="9" spans="1:62">
      <c r="A9" s="225" t="s">
        <v>607</v>
      </c>
      <c r="B9" s="220"/>
      <c r="C9" s="220"/>
      <c r="D9" s="220"/>
      <c r="E9" s="220"/>
      <c r="F9" s="220"/>
      <c r="G9" s="220"/>
      <c r="H9" s="220"/>
      <c r="I9" s="220"/>
      <c r="J9" s="220"/>
      <c r="K9" s="220"/>
      <c r="L9" s="220"/>
      <c r="M9" s="220"/>
      <c r="N9" s="220"/>
      <c r="O9" s="220"/>
      <c r="P9" s="220"/>
      <c r="Q9" s="220"/>
      <c r="R9" s="220"/>
      <c r="S9" s="221"/>
      <c r="T9" s="230">
        <f>'VOC eksploatacja samochody'!T51</f>
        <v>0.67903598504544949</v>
      </c>
      <c r="U9" s="223">
        <f>'VOC eksploatacja samochody'!U51</f>
        <v>0.67621453185949953</v>
      </c>
      <c r="V9" s="224">
        <f>'VOC eksploatacja samochody'!V51</f>
        <v>0.67339307867354958</v>
      </c>
      <c r="W9" s="224">
        <f>'VOC eksploatacja samochody'!W51</f>
        <v>0.67057162548759963</v>
      </c>
      <c r="X9" s="224">
        <f>'VOC eksploatacja samochody'!X51</f>
        <v>0.66775017230164968</v>
      </c>
      <c r="Y9" s="224">
        <f>'VOC eksploatacja samochody'!Y51</f>
        <v>0.66492871911569973</v>
      </c>
      <c r="Z9" s="224">
        <f>'VOC eksploatacja samochody'!Z51</f>
        <v>0.66210726592974978</v>
      </c>
      <c r="AA9" s="224">
        <f>'VOC eksploatacja samochody'!AA51</f>
        <v>0.65928581274379983</v>
      </c>
      <c r="AB9" s="224">
        <f>'VOC eksploatacja samochody'!AB51</f>
        <v>0.65646435955784987</v>
      </c>
      <c r="AC9" s="224">
        <f>'VOC eksploatacja samochody'!AC51</f>
        <v>0.65364290637189992</v>
      </c>
      <c r="AD9" s="224">
        <f>'VOC eksploatacja samochody'!AD51</f>
        <v>0.65082145318594997</v>
      </c>
      <c r="AE9" s="230">
        <f>'VOC eksploatacja samochody'!AE51</f>
        <v>0.64799999999999991</v>
      </c>
      <c r="AF9" s="224">
        <f>'VOC eksploatacja samochody'!AF51</f>
        <v>0.64039999999999986</v>
      </c>
      <c r="AG9" s="224">
        <f>'VOC eksploatacja samochody'!AG51</f>
        <v>0.63279999999999981</v>
      </c>
      <c r="AH9" s="224">
        <f>'VOC eksploatacja samochody'!AH51</f>
        <v>0.62519999999999976</v>
      </c>
      <c r="AI9" s="224">
        <f>'VOC eksploatacja samochody'!AI51</f>
        <v>0.6175999999999997</v>
      </c>
      <c r="AJ9" s="224">
        <f>'VOC eksploatacja samochody'!AJ51</f>
        <v>0.60999999999999965</v>
      </c>
      <c r="AK9" s="224">
        <f>'VOC eksploatacja samochody'!AK51</f>
        <v>0.6023999999999996</v>
      </c>
      <c r="AL9" s="224">
        <f>'VOC eksploatacja samochody'!AL51</f>
        <v>0.59479999999999955</v>
      </c>
      <c r="AM9" s="224">
        <f>'VOC eksploatacja samochody'!AM51</f>
        <v>0.5871999999999995</v>
      </c>
      <c r="AN9" s="224">
        <f>'VOC eksploatacja samochody'!AN51</f>
        <v>0.57959999999999945</v>
      </c>
      <c r="AO9" s="224">
        <f>'VOC eksploatacja samochody'!AO51</f>
        <v>0.5719999999999994</v>
      </c>
      <c r="AP9" s="224">
        <f>'VOC eksploatacja samochody'!AP51</f>
        <v>0.56439999999999935</v>
      </c>
      <c r="AQ9" s="224">
        <f>'VOC eksploatacja samochody'!AQ51</f>
        <v>0.5567999999999993</v>
      </c>
      <c r="AR9" s="224">
        <f>'VOC eksploatacja samochody'!AR51</f>
        <v>0.54919999999999924</v>
      </c>
      <c r="AS9" s="224">
        <f>'VOC eksploatacja samochody'!AS51</f>
        <v>0.54159999999999919</v>
      </c>
      <c r="AT9" s="224">
        <f>'VOC eksploatacja samochody'!AT51</f>
        <v>0.53399999999999914</v>
      </c>
      <c r="AU9" s="224">
        <f>'VOC eksploatacja samochody'!AU51</f>
        <v>0.52639999999999909</v>
      </c>
      <c r="AV9" s="224">
        <f>'VOC eksploatacja samochody'!AV51</f>
        <v>0.51879999999999904</v>
      </c>
      <c r="AW9" s="224">
        <f>'VOC eksploatacja samochody'!AW51</f>
        <v>0.51119999999999899</v>
      </c>
      <c r="AX9" s="224">
        <f>'VOC eksploatacja samochody'!AX51</f>
        <v>0.50359999999999894</v>
      </c>
      <c r="AY9" s="230">
        <f>'VOC eksploatacja samochody'!AY51</f>
        <v>0.496</v>
      </c>
      <c r="AZ9" s="224">
        <f>'VOC eksploatacja samochody'!AZ51</f>
        <v>0.496</v>
      </c>
      <c r="BA9" s="224">
        <f>'VOC eksploatacja samochody'!BA51</f>
        <v>0.496</v>
      </c>
      <c r="BB9" s="224">
        <f>'VOC eksploatacja samochody'!BB51</f>
        <v>0.496</v>
      </c>
      <c r="BC9" s="224">
        <f>'VOC eksploatacja samochody'!BC51</f>
        <v>0.496</v>
      </c>
      <c r="BD9" s="224">
        <f>'VOC eksploatacja samochody'!BD51</f>
        <v>0.496</v>
      </c>
      <c r="BE9" s="224">
        <f>'VOC eksploatacja samochody'!BE51</f>
        <v>0.496</v>
      </c>
      <c r="BF9" s="224">
        <f>'VOC eksploatacja samochody'!BF51</f>
        <v>0.496</v>
      </c>
      <c r="BG9" s="224">
        <f>'VOC eksploatacja samochody'!BG51</f>
        <v>0.496</v>
      </c>
      <c r="BH9" s="224">
        <f>'VOC eksploatacja samochody'!BH51</f>
        <v>0.496</v>
      </c>
      <c r="BI9" s="224">
        <f>'VOC eksploatacja samochody'!BI51</f>
        <v>0.496</v>
      </c>
      <c r="BJ9" s="224">
        <f>'VOC eksploatacja samochody'!BJ51</f>
        <v>0.496</v>
      </c>
    </row>
    <row r="10" spans="1:62">
      <c r="A10" s="225" t="s">
        <v>91</v>
      </c>
      <c r="B10" s="220"/>
      <c r="C10" s="220"/>
      <c r="D10" s="220"/>
      <c r="E10" s="220"/>
      <c r="F10" s="220"/>
      <c r="G10" s="220"/>
      <c r="H10" s="220"/>
      <c r="I10" s="220"/>
      <c r="J10" s="220"/>
      <c r="K10" s="220"/>
      <c r="L10" s="220"/>
      <c r="M10" s="220"/>
      <c r="N10" s="220"/>
      <c r="O10" s="220"/>
      <c r="P10" s="220"/>
      <c r="Q10" s="220"/>
      <c r="R10" s="220"/>
      <c r="S10" s="221"/>
      <c r="T10" s="230">
        <f>'VOC eksploatacja samochody'!T52</f>
        <v>0.32096401495455057</v>
      </c>
      <c r="U10" s="223">
        <f>'VOC eksploatacja samochody'!U52</f>
        <v>0.31669455904959143</v>
      </c>
      <c r="V10" s="224">
        <f>'VOC eksploatacja samochody'!V52</f>
        <v>0.31242510314463229</v>
      </c>
      <c r="W10" s="224">
        <f>'VOC eksploatacja samochody'!W52</f>
        <v>0.30815564723967315</v>
      </c>
      <c r="X10" s="224">
        <f>'VOC eksploatacja samochody'!X52</f>
        <v>0.30388619133471401</v>
      </c>
      <c r="Y10" s="224">
        <f>'VOC eksploatacja samochody'!Y52</f>
        <v>0.29961673542975487</v>
      </c>
      <c r="Z10" s="224">
        <f>'VOC eksploatacja samochody'!Z52</f>
        <v>0.29534727952479572</v>
      </c>
      <c r="AA10" s="224">
        <f>'VOC eksploatacja samochody'!AA52</f>
        <v>0.29107782361983658</v>
      </c>
      <c r="AB10" s="224">
        <f>'VOC eksploatacja samochody'!AB52</f>
        <v>0.28680836771487744</v>
      </c>
      <c r="AC10" s="224">
        <f>'VOC eksploatacja samochody'!AC52</f>
        <v>0.2825389118099183</v>
      </c>
      <c r="AD10" s="224">
        <f>'VOC eksploatacja samochody'!AD52</f>
        <v>0.27826945590495916</v>
      </c>
      <c r="AE10" s="230">
        <f>'VOC eksploatacja samochody'!AE52</f>
        <v>0.27400000000000002</v>
      </c>
      <c r="AF10" s="224">
        <f>'VOC eksploatacja samochody'!AF52</f>
        <v>0.26895000000000002</v>
      </c>
      <c r="AG10" s="224">
        <f>'VOC eksploatacja samochody'!AG52</f>
        <v>0.26390000000000002</v>
      </c>
      <c r="AH10" s="224">
        <f>'VOC eksploatacja samochody'!AH52</f>
        <v>0.25885000000000002</v>
      </c>
      <c r="AI10" s="224">
        <f>'VOC eksploatacja samochody'!AI52</f>
        <v>0.25380000000000003</v>
      </c>
      <c r="AJ10" s="224">
        <f>'VOC eksploatacja samochody'!AJ52</f>
        <v>0.24875000000000003</v>
      </c>
      <c r="AK10" s="224">
        <f>'VOC eksploatacja samochody'!AK52</f>
        <v>0.24370000000000003</v>
      </c>
      <c r="AL10" s="224">
        <f>'VOC eksploatacja samochody'!AL52</f>
        <v>0.23865000000000003</v>
      </c>
      <c r="AM10" s="224">
        <f>'VOC eksploatacja samochody'!AM52</f>
        <v>0.23360000000000003</v>
      </c>
      <c r="AN10" s="224">
        <f>'VOC eksploatacja samochody'!AN52</f>
        <v>0.22855000000000003</v>
      </c>
      <c r="AO10" s="224">
        <f>'VOC eksploatacja samochody'!AO52</f>
        <v>0.22350000000000003</v>
      </c>
      <c r="AP10" s="224">
        <f>'VOC eksploatacja samochody'!AP52</f>
        <v>0.21845000000000003</v>
      </c>
      <c r="AQ10" s="224">
        <f>'VOC eksploatacja samochody'!AQ52</f>
        <v>0.21340000000000003</v>
      </c>
      <c r="AR10" s="224">
        <f>'VOC eksploatacja samochody'!AR52</f>
        <v>0.20835000000000004</v>
      </c>
      <c r="AS10" s="224">
        <f>'VOC eksploatacja samochody'!AS52</f>
        <v>0.20330000000000004</v>
      </c>
      <c r="AT10" s="224">
        <f>'VOC eksploatacja samochody'!AT52</f>
        <v>0.19825000000000004</v>
      </c>
      <c r="AU10" s="224">
        <f>'VOC eksploatacja samochody'!AU52</f>
        <v>0.19320000000000004</v>
      </c>
      <c r="AV10" s="224">
        <f>'VOC eksploatacja samochody'!AV52</f>
        <v>0.18815000000000004</v>
      </c>
      <c r="AW10" s="224">
        <f>'VOC eksploatacja samochody'!AW52</f>
        <v>0.18310000000000004</v>
      </c>
      <c r="AX10" s="224">
        <f>'VOC eksploatacja samochody'!AX52</f>
        <v>0.17805000000000004</v>
      </c>
      <c r="AY10" s="230">
        <f>'VOC eksploatacja samochody'!AY52</f>
        <v>0.17299999999999999</v>
      </c>
      <c r="AZ10" s="224">
        <f>'VOC eksploatacja samochody'!AZ52</f>
        <v>0.17299999999999999</v>
      </c>
      <c r="BA10" s="224">
        <f>'VOC eksploatacja samochody'!BA52</f>
        <v>0.17299999999999999</v>
      </c>
      <c r="BB10" s="224">
        <f>'VOC eksploatacja samochody'!BB52</f>
        <v>0.17299999999999999</v>
      </c>
      <c r="BC10" s="224">
        <f>'VOC eksploatacja samochody'!BC52</f>
        <v>0.17299999999999999</v>
      </c>
      <c r="BD10" s="224">
        <f>'VOC eksploatacja samochody'!BD52</f>
        <v>0.17299999999999999</v>
      </c>
      <c r="BE10" s="224">
        <f>'VOC eksploatacja samochody'!BE52</f>
        <v>0.17299999999999999</v>
      </c>
      <c r="BF10" s="224">
        <f>'VOC eksploatacja samochody'!BF52</f>
        <v>0.17299999999999999</v>
      </c>
      <c r="BG10" s="224">
        <f>'VOC eksploatacja samochody'!BG52</f>
        <v>0.17299999999999999</v>
      </c>
      <c r="BH10" s="224">
        <f>'VOC eksploatacja samochody'!BH52</f>
        <v>0.17299999999999999</v>
      </c>
      <c r="BI10" s="224">
        <f>'VOC eksploatacja samochody'!BI52</f>
        <v>0.17299999999999999</v>
      </c>
      <c r="BJ10" s="224">
        <f>'VOC eksploatacja samochody'!BJ52</f>
        <v>0.17299999999999999</v>
      </c>
    </row>
    <row r="11" spans="1:62">
      <c r="A11" s="174" t="s">
        <v>95</v>
      </c>
      <c r="B11" s="189"/>
      <c r="C11" s="189"/>
      <c r="D11" s="189"/>
      <c r="E11" s="189"/>
      <c r="F11" s="189"/>
      <c r="G11" s="189"/>
      <c r="H11" s="189"/>
      <c r="I11" s="189"/>
      <c r="J11" s="189"/>
      <c r="K11" s="189"/>
      <c r="L11" s="189"/>
      <c r="M11" s="189"/>
      <c r="N11" s="189"/>
      <c r="O11" s="189"/>
      <c r="P11" s="189"/>
      <c r="Q11" s="189"/>
      <c r="R11" s="189"/>
      <c r="S11" s="190"/>
      <c r="T11" s="191">
        <f>'VOC eksploatacja samochody'!T53</f>
        <v>0</v>
      </c>
      <c r="U11" s="192">
        <f>'VOC eksploatacja samochody'!U53</f>
        <v>7.0909090909090913E-3</v>
      </c>
      <c r="V11" s="188">
        <f>'VOC eksploatacja samochody'!V53</f>
        <v>1.4181818181818183E-2</v>
      </c>
      <c r="W11" s="188">
        <f>'VOC eksploatacja samochody'!W53</f>
        <v>2.1272727272727273E-2</v>
      </c>
      <c r="X11" s="188">
        <f>'VOC eksploatacja samochody'!X53</f>
        <v>2.8363636363636365E-2</v>
      </c>
      <c r="Y11" s="188">
        <f>'VOC eksploatacja samochody'!Y53</f>
        <v>3.5454545454545454E-2</v>
      </c>
      <c r="Z11" s="188">
        <f>'VOC eksploatacja samochody'!Z53</f>
        <v>4.2545454545454546E-2</v>
      </c>
      <c r="AA11" s="188">
        <f>'VOC eksploatacja samochody'!AA53</f>
        <v>4.9636363636363638E-2</v>
      </c>
      <c r="AB11" s="188">
        <f>'VOC eksploatacja samochody'!AB53</f>
        <v>5.672727272727273E-2</v>
      </c>
      <c r="AC11" s="188">
        <f>'VOC eksploatacja samochody'!AC53</f>
        <v>6.3818181818181816E-2</v>
      </c>
      <c r="AD11" s="188">
        <f>'VOC eksploatacja samochody'!AD53</f>
        <v>7.0909090909090908E-2</v>
      </c>
      <c r="AE11" s="191">
        <f>'VOC eksploatacja samochody'!AE53</f>
        <v>7.8E-2</v>
      </c>
      <c r="AF11" s="188">
        <f>'VOC eksploatacja samochody'!AF53</f>
        <v>9.0649999999999994E-2</v>
      </c>
      <c r="AG11" s="188">
        <f>'VOC eksploatacja samochody'!AG53</f>
        <v>0.10329999999999999</v>
      </c>
      <c r="AH11" s="188">
        <f>'VOC eksploatacja samochody'!AH53</f>
        <v>0.11594999999999998</v>
      </c>
      <c r="AI11" s="188">
        <f>'VOC eksploatacja samochody'!AI53</f>
        <v>0.12859999999999999</v>
      </c>
      <c r="AJ11" s="188">
        <f>'VOC eksploatacja samochody'!AJ53</f>
        <v>0.14124999999999999</v>
      </c>
      <c r="AK11" s="188">
        <f>'VOC eksploatacja samochody'!AK53</f>
        <v>0.15389999999999998</v>
      </c>
      <c r="AL11" s="188">
        <f>'VOC eksploatacja samochody'!AL53</f>
        <v>0.16654999999999998</v>
      </c>
      <c r="AM11" s="188">
        <f>'VOC eksploatacja samochody'!AM53</f>
        <v>0.17919999999999997</v>
      </c>
      <c r="AN11" s="188">
        <f>'VOC eksploatacja samochody'!AN53</f>
        <v>0.19184999999999997</v>
      </c>
      <c r="AO11" s="188">
        <f>'VOC eksploatacja samochody'!AO53</f>
        <v>0.20449999999999996</v>
      </c>
      <c r="AP11" s="188">
        <f>'VOC eksploatacja samochody'!AP53</f>
        <v>0.21714999999999995</v>
      </c>
      <c r="AQ11" s="188">
        <f>'VOC eksploatacja samochody'!AQ53</f>
        <v>0.22979999999999995</v>
      </c>
      <c r="AR11" s="188">
        <f>'VOC eksploatacja samochody'!AR53</f>
        <v>0.24244999999999994</v>
      </c>
      <c r="AS11" s="188">
        <f>'VOC eksploatacja samochody'!AS53</f>
        <v>0.25509999999999994</v>
      </c>
      <c r="AT11" s="188">
        <f>'VOC eksploatacja samochody'!AT53</f>
        <v>0.26774999999999993</v>
      </c>
      <c r="AU11" s="188">
        <f>'VOC eksploatacja samochody'!AU53</f>
        <v>0.28039999999999993</v>
      </c>
      <c r="AV11" s="188">
        <f>'VOC eksploatacja samochody'!AV53</f>
        <v>0.29304999999999992</v>
      </c>
      <c r="AW11" s="188">
        <f>'VOC eksploatacja samochody'!AW53</f>
        <v>0.30569999999999992</v>
      </c>
      <c r="AX11" s="188">
        <f>'VOC eksploatacja samochody'!AX53</f>
        <v>0.31834999999999991</v>
      </c>
      <c r="AY11" s="191">
        <f>'VOC eksploatacja samochody'!AY53</f>
        <v>0.33100000000000002</v>
      </c>
      <c r="AZ11" s="188">
        <f>'VOC eksploatacja samochody'!AZ53</f>
        <v>0.33100000000000002</v>
      </c>
      <c r="BA11" s="188">
        <f>'VOC eksploatacja samochody'!BA53</f>
        <v>0.33100000000000002</v>
      </c>
      <c r="BB11" s="188">
        <f>'VOC eksploatacja samochody'!BB53</f>
        <v>0.33100000000000002</v>
      </c>
      <c r="BC11" s="188">
        <f>'VOC eksploatacja samochody'!BC53</f>
        <v>0.33100000000000002</v>
      </c>
      <c r="BD11" s="188">
        <f>'VOC eksploatacja samochody'!BD53</f>
        <v>0.33100000000000002</v>
      </c>
      <c r="BE11" s="188">
        <f>'VOC eksploatacja samochody'!BE53</f>
        <v>0.33100000000000002</v>
      </c>
      <c r="BF11" s="188">
        <f>'VOC eksploatacja samochody'!BF53</f>
        <v>0.33100000000000002</v>
      </c>
      <c r="BG11" s="188">
        <f>'VOC eksploatacja samochody'!BG53</f>
        <v>0.33100000000000002</v>
      </c>
      <c r="BH11" s="188">
        <f>'VOC eksploatacja samochody'!BH53</f>
        <v>0.33100000000000002</v>
      </c>
      <c r="BI11" s="188">
        <f>'VOC eksploatacja samochody'!BI53</f>
        <v>0.33100000000000002</v>
      </c>
      <c r="BJ11" s="188">
        <f>'VOC eksploatacja samochody'!BJ53</f>
        <v>0.33100000000000002</v>
      </c>
    </row>
    <row r="12" spans="1:62">
      <c r="A12" s="193"/>
      <c r="B12" s="194"/>
      <c r="C12" s="194"/>
      <c r="D12" s="194"/>
      <c r="E12" s="194"/>
      <c r="F12" s="194"/>
      <c r="G12" s="194"/>
      <c r="H12" s="194"/>
      <c r="I12" s="194"/>
      <c r="J12" s="194"/>
      <c r="K12" s="194"/>
      <c r="L12" s="194"/>
      <c r="M12" s="194"/>
      <c r="N12" s="194"/>
      <c r="O12" s="194"/>
      <c r="P12" s="194"/>
      <c r="Q12" s="194"/>
      <c r="R12" s="194"/>
      <c r="S12" s="194"/>
      <c r="T12" s="194" t="b">
        <f>ROUND(SUM(T9:T10),10)=ROUND(T8,10)</f>
        <v>1</v>
      </c>
      <c r="U12" s="194" t="b">
        <f t="shared" ref="U12:BI12" si="1">ROUND(SUM(U9:U10),10)=ROUND(U8,10)</f>
        <v>1</v>
      </c>
      <c r="V12" s="194" t="b">
        <f t="shared" si="1"/>
        <v>1</v>
      </c>
      <c r="W12" s="194" t="b">
        <f t="shared" si="1"/>
        <v>1</v>
      </c>
      <c r="X12" s="194" t="b">
        <f t="shared" si="1"/>
        <v>1</v>
      </c>
      <c r="Y12" s="194" t="b">
        <f t="shared" si="1"/>
        <v>1</v>
      </c>
      <c r="Z12" s="194" t="b">
        <f t="shared" si="1"/>
        <v>1</v>
      </c>
      <c r="AA12" s="194" t="b">
        <f t="shared" si="1"/>
        <v>1</v>
      </c>
      <c r="AB12" s="194" t="b">
        <f t="shared" si="1"/>
        <v>1</v>
      </c>
      <c r="AC12" s="194" t="b">
        <f t="shared" si="1"/>
        <v>1</v>
      </c>
      <c r="AD12" s="194" t="b">
        <f t="shared" si="1"/>
        <v>1</v>
      </c>
      <c r="AE12" s="194" t="b">
        <f t="shared" si="1"/>
        <v>1</v>
      </c>
      <c r="AF12" s="194" t="b">
        <f t="shared" si="1"/>
        <v>1</v>
      </c>
      <c r="AG12" s="194" t="b">
        <f t="shared" si="1"/>
        <v>1</v>
      </c>
      <c r="AH12" s="194" t="b">
        <f t="shared" si="1"/>
        <v>1</v>
      </c>
      <c r="AI12" s="194" t="b">
        <f t="shared" si="1"/>
        <v>1</v>
      </c>
      <c r="AJ12" s="194" t="b">
        <f t="shared" si="1"/>
        <v>1</v>
      </c>
      <c r="AK12" s="194" t="b">
        <f t="shared" si="1"/>
        <v>1</v>
      </c>
      <c r="AL12" s="194" t="b">
        <f t="shared" si="1"/>
        <v>1</v>
      </c>
      <c r="AM12" s="194" t="b">
        <f t="shared" si="1"/>
        <v>1</v>
      </c>
      <c r="AN12" s="194" t="b">
        <f t="shared" si="1"/>
        <v>1</v>
      </c>
      <c r="AO12" s="194" t="b">
        <f t="shared" si="1"/>
        <v>1</v>
      </c>
      <c r="AP12" s="194" t="b">
        <f t="shared" si="1"/>
        <v>1</v>
      </c>
      <c r="AQ12" s="194" t="b">
        <f t="shared" si="1"/>
        <v>1</v>
      </c>
      <c r="AR12" s="194" t="b">
        <f t="shared" si="1"/>
        <v>1</v>
      </c>
      <c r="AS12" s="194" t="b">
        <f t="shared" si="1"/>
        <v>1</v>
      </c>
      <c r="AT12" s="194" t="b">
        <f t="shared" si="1"/>
        <v>1</v>
      </c>
      <c r="AU12" s="194" t="b">
        <f t="shared" si="1"/>
        <v>1</v>
      </c>
      <c r="AV12" s="194" t="b">
        <f t="shared" si="1"/>
        <v>1</v>
      </c>
      <c r="AW12" s="194" t="b">
        <f t="shared" si="1"/>
        <v>1</v>
      </c>
      <c r="AX12" s="194" t="b">
        <f t="shared" si="1"/>
        <v>1</v>
      </c>
      <c r="AY12" s="194" t="b">
        <f t="shared" si="1"/>
        <v>1</v>
      </c>
      <c r="AZ12" s="194" t="b">
        <f t="shared" si="1"/>
        <v>1</v>
      </c>
      <c r="BA12" s="194" t="b">
        <f t="shared" si="1"/>
        <v>1</v>
      </c>
      <c r="BB12" s="194" t="b">
        <f t="shared" si="1"/>
        <v>1</v>
      </c>
      <c r="BC12" s="194" t="b">
        <f t="shared" si="1"/>
        <v>1</v>
      </c>
      <c r="BD12" s="194" t="b">
        <f t="shared" si="1"/>
        <v>1</v>
      </c>
      <c r="BE12" s="194" t="b">
        <f t="shared" si="1"/>
        <v>1</v>
      </c>
      <c r="BF12" s="194" t="b">
        <f t="shared" si="1"/>
        <v>1</v>
      </c>
      <c r="BG12" s="194" t="b">
        <f t="shared" si="1"/>
        <v>1</v>
      </c>
      <c r="BH12" s="194" t="b">
        <f t="shared" si="1"/>
        <v>1</v>
      </c>
      <c r="BI12" s="194" t="b">
        <f t="shared" si="1"/>
        <v>1</v>
      </c>
      <c r="BJ12" s="194" t="b">
        <f t="shared" ref="BJ12" si="2">ROUND(SUM(BJ9:BJ10),10)=ROUND(BJ8,10)</f>
        <v>1</v>
      </c>
    </row>
    <row r="13" spans="1:62">
      <c r="A13" s="185" t="str">
        <f>'VOC eksploatacja samochody'!$A$55</f>
        <v>Struktura floty pojazdów HGV</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5"/>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613"/>
    </row>
    <row r="14" spans="1:62">
      <c r="A14" s="9" t="s">
        <v>90</v>
      </c>
      <c r="B14" s="685"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74" t="s">
        <v>107</v>
      </c>
      <c r="B15" s="189"/>
      <c r="C15" s="189"/>
      <c r="D15" s="189"/>
      <c r="E15" s="189"/>
      <c r="F15" s="189"/>
      <c r="G15" s="189"/>
      <c r="H15" s="189"/>
      <c r="I15" s="189"/>
      <c r="J15" s="189"/>
      <c r="K15" s="189"/>
      <c r="L15" s="189"/>
      <c r="M15" s="189"/>
      <c r="N15" s="189"/>
      <c r="O15" s="189"/>
      <c r="P15" s="189"/>
      <c r="Q15" s="189"/>
      <c r="R15" s="189"/>
      <c r="S15" s="190"/>
      <c r="T15" s="191">
        <f>'VOC eksploatacja samochody'!T57</f>
        <v>1</v>
      </c>
      <c r="U15" s="192">
        <f>'VOC eksploatacja samochody'!U57</f>
        <v>1</v>
      </c>
      <c r="V15" s="188">
        <f>'VOC eksploatacja samochody'!V57</f>
        <v>1</v>
      </c>
      <c r="W15" s="188">
        <f>'VOC eksploatacja samochody'!W57</f>
        <v>1</v>
      </c>
      <c r="X15" s="188">
        <f>'VOC eksploatacja samochody'!X57</f>
        <v>1</v>
      </c>
      <c r="Y15" s="188">
        <f>'VOC eksploatacja samochody'!Y57</f>
        <v>1</v>
      </c>
      <c r="Z15" s="188">
        <f>'VOC eksploatacja samochody'!Z57</f>
        <v>1</v>
      </c>
      <c r="AA15" s="188">
        <f>'VOC eksploatacja samochody'!AA57</f>
        <v>1</v>
      </c>
      <c r="AB15" s="188">
        <f>'VOC eksploatacja samochody'!AB57</f>
        <v>1</v>
      </c>
      <c r="AC15" s="188">
        <f>'VOC eksploatacja samochody'!AC57</f>
        <v>1</v>
      </c>
      <c r="AD15" s="188">
        <f>'VOC eksploatacja samochody'!AD57</f>
        <v>1</v>
      </c>
      <c r="AE15" s="191">
        <f>'VOC eksploatacja samochody'!AE57</f>
        <v>1</v>
      </c>
      <c r="AF15" s="188">
        <f>'VOC eksploatacja samochody'!AF57</f>
        <v>1</v>
      </c>
      <c r="AG15" s="188">
        <f>'VOC eksploatacja samochody'!AG57</f>
        <v>1</v>
      </c>
      <c r="AH15" s="188">
        <f>'VOC eksploatacja samochody'!AH57</f>
        <v>1</v>
      </c>
      <c r="AI15" s="188">
        <f>'VOC eksploatacja samochody'!AI57</f>
        <v>1</v>
      </c>
      <c r="AJ15" s="188">
        <f>'VOC eksploatacja samochody'!AJ57</f>
        <v>1</v>
      </c>
      <c r="AK15" s="188">
        <f>'VOC eksploatacja samochody'!AK57</f>
        <v>1</v>
      </c>
      <c r="AL15" s="188">
        <f>'VOC eksploatacja samochody'!AL57</f>
        <v>1</v>
      </c>
      <c r="AM15" s="188">
        <f>'VOC eksploatacja samochody'!AM57</f>
        <v>1</v>
      </c>
      <c r="AN15" s="188">
        <f>'VOC eksploatacja samochody'!AN57</f>
        <v>1</v>
      </c>
      <c r="AO15" s="188">
        <f>'VOC eksploatacja samochody'!AO57</f>
        <v>1</v>
      </c>
      <c r="AP15" s="188">
        <f>'VOC eksploatacja samochody'!AP57</f>
        <v>1</v>
      </c>
      <c r="AQ15" s="188">
        <f>'VOC eksploatacja samochody'!AQ57</f>
        <v>1</v>
      </c>
      <c r="AR15" s="188">
        <f>'VOC eksploatacja samochody'!AR57</f>
        <v>1</v>
      </c>
      <c r="AS15" s="188">
        <f>'VOC eksploatacja samochody'!AS57</f>
        <v>1</v>
      </c>
      <c r="AT15" s="188">
        <f>'VOC eksploatacja samochody'!AT57</f>
        <v>1</v>
      </c>
      <c r="AU15" s="188">
        <f>'VOC eksploatacja samochody'!AU57</f>
        <v>1</v>
      </c>
      <c r="AV15" s="188">
        <f>'VOC eksploatacja samochody'!AV57</f>
        <v>1</v>
      </c>
      <c r="AW15" s="188">
        <f>'VOC eksploatacja samochody'!AW57</f>
        <v>1</v>
      </c>
      <c r="AX15" s="188">
        <f>'VOC eksploatacja samochody'!AX57</f>
        <v>1</v>
      </c>
      <c r="AY15" s="191">
        <f>'VOC eksploatacja samochody'!AY57</f>
        <v>1</v>
      </c>
      <c r="AZ15" s="188">
        <f>'VOC eksploatacja samochody'!AZ57</f>
        <v>1</v>
      </c>
      <c r="BA15" s="188">
        <f>'VOC eksploatacja samochody'!BA57</f>
        <v>1</v>
      </c>
      <c r="BB15" s="188">
        <f>'VOC eksploatacja samochody'!BB57</f>
        <v>1</v>
      </c>
      <c r="BC15" s="188">
        <f>'VOC eksploatacja samochody'!BC57</f>
        <v>1</v>
      </c>
      <c r="BD15" s="188">
        <f>'VOC eksploatacja samochody'!BD57</f>
        <v>1</v>
      </c>
      <c r="BE15" s="188">
        <f>'VOC eksploatacja samochody'!BE57</f>
        <v>1</v>
      </c>
      <c r="BF15" s="188">
        <f>'VOC eksploatacja samochody'!BF57</f>
        <v>1</v>
      </c>
      <c r="BG15" s="188">
        <f>'VOC eksploatacja samochody'!BG57</f>
        <v>1</v>
      </c>
      <c r="BH15" s="188">
        <f>'VOC eksploatacja samochody'!BH57</f>
        <v>1</v>
      </c>
      <c r="BI15" s="188">
        <f>'VOC eksploatacja samochody'!BI57</f>
        <v>1</v>
      </c>
      <c r="BJ15" s="188">
        <f>'VOC eksploatacja samochody'!BJ57</f>
        <v>1</v>
      </c>
    </row>
    <row r="16" spans="1:62">
      <c r="A16" s="174" t="s">
        <v>95</v>
      </c>
      <c r="B16" s="189"/>
      <c r="C16" s="189"/>
      <c r="D16" s="189"/>
      <c r="E16" s="189"/>
      <c r="F16" s="189"/>
      <c r="G16" s="189"/>
      <c r="H16" s="189"/>
      <c r="I16" s="189"/>
      <c r="J16" s="189"/>
      <c r="K16" s="189"/>
      <c r="L16" s="189"/>
      <c r="M16" s="189"/>
      <c r="N16" s="189"/>
      <c r="O16" s="189"/>
      <c r="P16" s="189"/>
      <c r="Q16" s="189"/>
      <c r="R16" s="189"/>
      <c r="S16" s="190"/>
      <c r="T16" s="191">
        <f>'VOC eksploatacja samochody'!T58</f>
        <v>0</v>
      </c>
      <c r="U16" s="192">
        <f>'VOC eksploatacja samochody'!U58</f>
        <v>0</v>
      </c>
      <c r="V16" s="188">
        <f>'VOC eksploatacja samochody'!V58</f>
        <v>0</v>
      </c>
      <c r="W16" s="188">
        <f>'VOC eksploatacja samochody'!W58</f>
        <v>0</v>
      </c>
      <c r="X16" s="188">
        <f>'VOC eksploatacja samochody'!X58</f>
        <v>0</v>
      </c>
      <c r="Y16" s="188">
        <f>'VOC eksploatacja samochody'!Y58</f>
        <v>0</v>
      </c>
      <c r="Z16" s="188">
        <f>'VOC eksploatacja samochody'!Z58</f>
        <v>0</v>
      </c>
      <c r="AA16" s="188">
        <f>'VOC eksploatacja samochody'!AA58</f>
        <v>0</v>
      </c>
      <c r="AB16" s="188">
        <f>'VOC eksploatacja samochody'!AB58</f>
        <v>0</v>
      </c>
      <c r="AC16" s="188">
        <f>'VOC eksploatacja samochody'!AC58</f>
        <v>0</v>
      </c>
      <c r="AD16" s="188">
        <f>'VOC eksploatacja samochody'!AD58</f>
        <v>0</v>
      </c>
      <c r="AE16" s="191">
        <f>'VOC eksploatacja samochody'!AE58</f>
        <v>0</v>
      </c>
      <c r="AF16" s="188">
        <f>'VOC eksploatacja samochody'!AF58</f>
        <v>0</v>
      </c>
      <c r="AG16" s="188">
        <f>'VOC eksploatacja samochody'!AG58</f>
        <v>0</v>
      </c>
      <c r="AH16" s="188">
        <f>'VOC eksploatacja samochody'!AH58</f>
        <v>0</v>
      </c>
      <c r="AI16" s="188">
        <f>'VOC eksploatacja samochody'!AI58</f>
        <v>0</v>
      </c>
      <c r="AJ16" s="188">
        <f>'VOC eksploatacja samochody'!AJ58</f>
        <v>0</v>
      </c>
      <c r="AK16" s="188">
        <f>'VOC eksploatacja samochody'!AK58</f>
        <v>0</v>
      </c>
      <c r="AL16" s="188">
        <f>'VOC eksploatacja samochody'!AL58</f>
        <v>0</v>
      </c>
      <c r="AM16" s="188">
        <f>'VOC eksploatacja samochody'!AM58</f>
        <v>0</v>
      </c>
      <c r="AN16" s="188">
        <f>'VOC eksploatacja samochody'!AN58</f>
        <v>0</v>
      </c>
      <c r="AO16" s="188">
        <f>'VOC eksploatacja samochody'!AO58</f>
        <v>0</v>
      </c>
      <c r="AP16" s="188">
        <f>'VOC eksploatacja samochody'!AP58</f>
        <v>0</v>
      </c>
      <c r="AQ16" s="188">
        <f>'VOC eksploatacja samochody'!AQ58</f>
        <v>0</v>
      </c>
      <c r="AR16" s="188">
        <f>'VOC eksploatacja samochody'!AR58</f>
        <v>0</v>
      </c>
      <c r="AS16" s="188">
        <f>'VOC eksploatacja samochody'!AS58</f>
        <v>0</v>
      </c>
      <c r="AT16" s="188">
        <f>'VOC eksploatacja samochody'!AT58</f>
        <v>0</v>
      </c>
      <c r="AU16" s="188">
        <f>'VOC eksploatacja samochody'!AU58</f>
        <v>0</v>
      </c>
      <c r="AV16" s="188">
        <f>'VOC eksploatacja samochody'!AV58</f>
        <v>0</v>
      </c>
      <c r="AW16" s="188">
        <f>'VOC eksploatacja samochody'!AW58</f>
        <v>0</v>
      </c>
      <c r="AX16" s="188">
        <f>'VOC eksploatacja samochody'!AX58</f>
        <v>0</v>
      </c>
      <c r="AY16" s="191">
        <f>'VOC eksploatacja samochody'!AY58</f>
        <v>0</v>
      </c>
      <c r="AZ16" s="188">
        <f>'VOC eksploatacja samochody'!AZ58</f>
        <v>0</v>
      </c>
      <c r="BA16" s="188">
        <f>'VOC eksploatacja samochody'!BA58</f>
        <v>0</v>
      </c>
      <c r="BB16" s="188">
        <f>'VOC eksploatacja samochody'!BB58</f>
        <v>0</v>
      </c>
      <c r="BC16" s="188">
        <f>'VOC eksploatacja samochody'!BC58</f>
        <v>0</v>
      </c>
      <c r="BD16" s="188">
        <f>'VOC eksploatacja samochody'!BD58</f>
        <v>0</v>
      </c>
      <c r="BE16" s="188">
        <f>'VOC eksploatacja samochody'!BE58</f>
        <v>0</v>
      </c>
      <c r="BF16" s="188">
        <f>'VOC eksploatacja samochody'!BF58</f>
        <v>0</v>
      </c>
      <c r="BG16" s="188">
        <f>'VOC eksploatacja samochody'!BG58</f>
        <v>0</v>
      </c>
      <c r="BH16" s="188">
        <f>'VOC eksploatacja samochody'!BH58</f>
        <v>0</v>
      </c>
      <c r="BI16" s="188">
        <f>'VOC eksploatacja samochody'!BI58</f>
        <v>0</v>
      </c>
      <c r="BJ16" s="188">
        <f>'VOC eksploatacja samochody'!BJ58</f>
        <v>0</v>
      </c>
    </row>
    <row r="17" spans="1:61">
      <c r="A17" s="193"/>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row>
    <row r="18" spans="1:61">
      <c r="A18" s="715" t="str">
        <f>'VOC eksploatacja samochody'!$A$60</f>
        <v xml:space="preserve">W poniższych tabelach dane dla pojazdów drogowych spalinowych dotyczą całości reprezentatywnej floty pojazdów w Polsce z 2019 roku, z uwzględnieniem wszystkich rodzajów paliw. </v>
      </c>
      <c r="B18" s="715"/>
      <c r="C18" s="715"/>
      <c r="D18" s="715"/>
      <c r="E18" s="715"/>
      <c r="F18" s="715"/>
      <c r="G18" s="715"/>
      <c r="H18" s="715"/>
      <c r="I18" s="715"/>
      <c r="J18" s="715"/>
      <c r="K18" s="715"/>
      <c r="L18" s="715"/>
      <c r="M18" s="715"/>
      <c r="N18" s="715"/>
      <c r="O18" s="715"/>
      <c r="P18" s="715"/>
      <c r="Q18" s="715"/>
      <c r="R18" s="715"/>
      <c r="S18" s="715"/>
      <c r="T18" s="715"/>
      <c r="U18" s="715"/>
      <c r="V18" s="715"/>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row>
    <row r="19" spans="1:61" s="613" customFormat="1">
      <c r="A19" s="715"/>
      <c r="B19" s="715"/>
      <c r="C19" s="715"/>
      <c r="D19" s="715"/>
      <c r="E19" s="715"/>
      <c r="F19" s="715"/>
      <c r="G19" s="715"/>
      <c r="H19" s="715"/>
      <c r="I19" s="715"/>
      <c r="J19" s="715"/>
      <c r="K19" s="715"/>
      <c r="L19" s="715"/>
      <c r="M19" s="715"/>
      <c r="N19" s="715"/>
      <c r="O19" s="715"/>
      <c r="P19" s="715"/>
      <c r="Q19" s="715"/>
      <c r="R19" s="715"/>
      <c r="S19" s="715"/>
      <c r="T19" s="715"/>
      <c r="U19" s="715"/>
      <c r="V19" s="715"/>
    </row>
    <row r="20" spans="1:61">
      <c r="A20" s="715" t="str">
        <f>'VOC eksploatacja samochody'!$A$62</f>
        <v xml:space="preserve">Dla uproszczenia należy przyjąć, że aktualnie udział pojazdów elektrycznych (w tym również hybrydowych-elektrycznych) w całej flocie pojazdów poruszających się po drogach w Polsce wynosi 0%. </v>
      </c>
      <c r="B20" s="715"/>
      <c r="C20" s="715"/>
      <c r="D20" s="715"/>
      <c r="E20" s="715"/>
      <c r="F20" s="715"/>
      <c r="G20" s="715"/>
      <c r="H20" s="715"/>
      <c r="I20" s="715"/>
      <c r="J20" s="715"/>
      <c r="K20" s="715"/>
      <c r="L20" s="715"/>
      <c r="M20" s="715"/>
      <c r="N20" s="715"/>
      <c r="O20" s="715"/>
      <c r="P20" s="715"/>
      <c r="Q20" s="715"/>
      <c r="R20" s="715"/>
      <c r="S20" s="715"/>
      <c r="T20" s="715"/>
      <c r="U20" s="715"/>
      <c r="V20" s="715"/>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row>
    <row r="21" spans="1:61" s="613" customFormat="1">
      <c r="A21" s="715"/>
      <c r="B21" s="715"/>
      <c r="C21" s="715"/>
      <c r="D21" s="715"/>
      <c r="E21" s="715"/>
      <c r="F21" s="715"/>
      <c r="G21" s="715"/>
      <c r="H21" s="715"/>
      <c r="I21" s="715"/>
      <c r="J21" s="715"/>
      <c r="K21" s="715"/>
      <c r="L21" s="715"/>
      <c r="M21" s="715"/>
      <c r="N21" s="715"/>
      <c r="O21" s="715"/>
      <c r="P21" s="715"/>
      <c r="Q21" s="715"/>
      <c r="R21" s="715"/>
      <c r="S21" s="715"/>
      <c r="T21" s="715"/>
      <c r="U21" s="715"/>
      <c r="V21" s="715"/>
    </row>
    <row r="22" spans="1:61">
      <c r="A22" s="330"/>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row>
    <row r="23" spans="1:61">
      <c r="A23" s="334" t="str">
        <f>'VOC eksploatacja samochody'!$A$65</f>
        <v xml:space="preserve">Dla potrzeb analizy projektów przedstawianych do oceny przez CUPT należy przyjąć następujące założenia: </v>
      </c>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row>
    <row r="24" spans="1:61">
      <c r="A24" s="144" t="str">
        <f>'VOC eksploatacja samochody'!$A$66</f>
        <v xml:space="preserve">Wskaźniki zużycia paliwa przez pojazdy spalinowe (łącznie dla wszystkich rodzajów paliw) pozostaną na wyjściowym poziomie (2019). </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row>
    <row r="25" spans="1:61">
      <c r="A25" s="144" t="str">
        <f>'VOC eksploatacja samochody'!$A$67</f>
        <v xml:space="preserve">Aktualnie flota pojazdów drogowych składa się w 100% zpojazdów spalinowych i 0% pojazdów elektrycznych. </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row>
    <row r="26" spans="1:61">
      <c r="A26" s="763" t="str">
        <f>'VOC eksploatacja samochody'!$A$68</f>
        <v xml:space="preserve">We flocie samochodów osobowych udziały pojazdów elektrycznych będą rosły, a pojazdów spalinowych – malały (w tym samym tempie dla wszystkich rodzajów paliw), zgodnie z przyjętym scenariuszem prognoz. </v>
      </c>
      <c r="B26" s="763"/>
      <c r="C26" s="763"/>
      <c r="D26" s="763"/>
      <c r="E26" s="763"/>
      <c r="F26" s="763"/>
      <c r="G26" s="763"/>
      <c r="H26" s="763"/>
      <c r="I26" s="763"/>
      <c r="J26" s="763"/>
      <c r="K26" s="763"/>
      <c r="L26" s="763"/>
      <c r="M26" s="763"/>
      <c r="N26" s="763"/>
      <c r="O26" s="763"/>
      <c r="P26" s="763"/>
      <c r="Q26" s="763"/>
      <c r="R26" s="763"/>
      <c r="S26" s="763"/>
      <c r="T26" s="763"/>
      <c r="U26" s="763"/>
      <c r="V26" s="763"/>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row>
    <row r="27" spans="1:61" s="613" customFormat="1">
      <c r="A27" s="763"/>
      <c r="B27" s="763"/>
      <c r="C27" s="763"/>
      <c r="D27" s="763"/>
      <c r="E27" s="763"/>
      <c r="F27" s="763"/>
      <c r="G27" s="763"/>
      <c r="H27" s="763"/>
      <c r="I27" s="763"/>
      <c r="J27" s="763"/>
      <c r="K27" s="763"/>
      <c r="L27" s="763"/>
      <c r="M27" s="763"/>
      <c r="N27" s="763"/>
      <c r="O27" s="763"/>
      <c r="P27" s="763"/>
      <c r="Q27" s="763"/>
      <c r="R27" s="763"/>
      <c r="S27" s="763"/>
      <c r="T27" s="763"/>
      <c r="U27" s="763"/>
      <c r="V27" s="763"/>
    </row>
    <row r="28" spans="1:61">
      <c r="A28" s="763"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763"/>
      <c r="C28" s="763"/>
      <c r="D28" s="763"/>
      <c r="E28" s="763"/>
      <c r="F28" s="763"/>
      <c r="G28" s="763"/>
      <c r="H28" s="763"/>
      <c r="I28" s="763"/>
      <c r="J28" s="763"/>
      <c r="K28" s="763"/>
      <c r="L28" s="763"/>
      <c r="M28" s="763"/>
      <c r="N28" s="763"/>
      <c r="O28" s="763"/>
      <c r="P28" s="763"/>
      <c r="Q28" s="763"/>
      <c r="R28" s="763"/>
      <c r="S28" s="763"/>
      <c r="T28" s="763"/>
      <c r="U28" s="763"/>
      <c r="V28" s="763"/>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row>
    <row r="29" spans="1:61" s="613" customFormat="1">
      <c r="A29" s="763"/>
      <c r="B29" s="763"/>
      <c r="C29" s="763"/>
      <c r="D29" s="763"/>
      <c r="E29" s="763"/>
      <c r="F29" s="763"/>
      <c r="G29" s="763"/>
      <c r="H29" s="763"/>
      <c r="I29" s="763"/>
      <c r="J29" s="763"/>
      <c r="K29" s="763"/>
      <c r="L29" s="763"/>
      <c r="M29" s="763"/>
      <c r="N29" s="763"/>
      <c r="O29" s="763"/>
      <c r="P29" s="763"/>
      <c r="Q29" s="763"/>
      <c r="R29" s="763"/>
      <c r="S29" s="763"/>
      <c r="T29" s="763"/>
      <c r="U29" s="763"/>
      <c r="V29" s="763"/>
    </row>
    <row r="30" spans="1:61">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row>
    <row r="31" spans="1:61"/>
    <row r="32" spans="1:61"/>
    <row r="33" spans="1:34">
      <c r="A33" s="132" t="s">
        <v>616</v>
      </c>
      <c r="B33" s="132"/>
      <c r="C33" s="132"/>
      <c r="D33" s="132"/>
      <c r="E33" s="132"/>
      <c r="F33" s="132"/>
      <c r="G33" s="132"/>
      <c r="H33" s="132"/>
      <c r="I33" s="132"/>
      <c r="J33" s="132"/>
      <c r="K33" s="132"/>
      <c r="L33" s="132"/>
      <c r="M33" s="132"/>
      <c r="N33" s="132"/>
      <c r="O33" s="132"/>
      <c r="P33" s="132"/>
      <c r="Q33" s="132"/>
      <c r="R33" s="132"/>
      <c r="S33" s="132"/>
      <c r="T33" s="132"/>
      <c r="U33" s="330"/>
      <c r="V33" s="330"/>
      <c r="W33" s="330"/>
      <c r="X33" s="330"/>
      <c r="Y33" s="330"/>
      <c r="Z33" s="330"/>
      <c r="AA33" s="330"/>
      <c r="AB33" s="330"/>
      <c r="AC33" s="330"/>
      <c r="AD33" s="330"/>
      <c r="AE33" s="330"/>
      <c r="AF33" s="330"/>
      <c r="AG33" s="330"/>
      <c r="AH33" s="330"/>
    </row>
    <row r="34" spans="1:34">
      <c r="A34" s="330"/>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row>
    <row r="35" spans="1:34" ht="18">
      <c r="A35" s="1" t="s">
        <v>658</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row>
    <row r="36" spans="1:34">
      <c r="A36" s="749" t="str">
        <f>'VOC eksploatacja samochody'!$A$78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36" s="749"/>
      <c r="C36" s="749"/>
      <c r="D36" s="749"/>
      <c r="E36" s="749"/>
      <c r="F36" s="749"/>
      <c r="G36" s="749"/>
      <c r="H36" s="749"/>
      <c r="I36" s="749"/>
      <c r="J36" s="749"/>
      <c r="K36" s="749"/>
      <c r="L36" s="749"/>
      <c r="M36" s="749"/>
      <c r="N36" s="749"/>
      <c r="O36" s="749"/>
      <c r="P36" s="749"/>
      <c r="Q36" s="749"/>
      <c r="R36" s="749"/>
      <c r="S36" s="749"/>
      <c r="T36" s="749"/>
      <c r="U36" s="749"/>
      <c r="V36" s="749"/>
      <c r="W36" s="330"/>
      <c r="X36" s="330"/>
      <c r="Y36" s="330"/>
      <c r="Z36" s="330"/>
      <c r="AA36" s="330"/>
      <c r="AB36" s="330"/>
      <c r="AC36" s="330"/>
      <c r="AD36" s="330"/>
      <c r="AE36" s="330"/>
      <c r="AF36" s="330"/>
      <c r="AG36" s="330"/>
      <c r="AH36" s="330"/>
    </row>
    <row r="37" spans="1:34" s="613" customFormat="1">
      <c r="A37" s="749"/>
      <c r="B37" s="749"/>
      <c r="C37" s="749"/>
      <c r="D37" s="749"/>
      <c r="E37" s="749"/>
      <c r="F37" s="749"/>
      <c r="G37" s="749"/>
      <c r="H37" s="749"/>
      <c r="I37" s="749"/>
      <c r="J37" s="749"/>
      <c r="K37" s="749"/>
      <c r="L37" s="749"/>
      <c r="M37" s="749"/>
      <c r="N37" s="749"/>
      <c r="O37" s="749"/>
      <c r="P37" s="749"/>
      <c r="Q37" s="749"/>
      <c r="R37" s="749"/>
      <c r="S37" s="749"/>
      <c r="T37" s="749"/>
      <c r="U37" s="749"/>
      <c r="V37" s="749"/>
    </row>
    <row r="38" spans="1:34" s="613" customFormat="1" ht="15.75" thickBot="1">
      <c r="A38" s="749"/>
      <c r="B38" s="749"/>
      <c r="C38" s="749"/>
      <c r="D38" s="749"/>
      <c r="E38" s="749"/>
      <c r="F38" s="749"/>
      <c r="G38" s="749"/>
      <c r="H38" s="749"/>
      <c r="I38" s="749"/>
      <c r="J38" s="749"/>
      <c r="K38" s="749"/>
      <c r="L38" s="749"/>
      <c r="M38" s="749"/>
      <c r="N38" s="749"/>
      <c r="O38" s="749"/>
      <c r="P38" s="749"/>
      <c r="Q38" s="749"/>
      <c r="R38" s="749"/>
      <c r="S38" s="749"/>
      <c r="T38" s="749"/>
      <c r="U38" s="749"/>
      <c r="V38" s="749"/>
    </row>
    <row r="39" spans="1:34">
      <c r="A39" s="330"/>
      <c r="B39" s="330"/>
      <c r="C39" s="330"/>
      <c r="D39" s="330"/>
      <c r="E39" s="330"/>
      <c r="F39" s="330"/>
      <c r="G39" s="330"/>
      <c r="H39" s="330"/>
      <c r="I39" s="330"/>
      <c r="J39" s="330"/>
      <c r="K39" s="330"/>
      <c r="L39" s="330"/>
      <c r="M39" s="330"/>
      <c r="N39" s="330"/>
      <c r="O39" s="330"/>
      <c r="P39" s="330"/>
      <c r="Q39" s="330"/>
      <c r="S39" s="766" t="s">
        <v>659</v>
      </c>
      <c r="T39" s="767"/>
      <c r="U39" s="768"/>
      <c r="W39" s="766" t="s">
        <v>659</v>
      </c>
      <c r="X39" s="767"/>
      <c r="Y39" s="768"/>
      <c r="Z39" s="330"/>
      <c r="AA39" s="762" t="str">
        <f>'VOC eksploatacja samochody'!$AA$81</f>
        <v xml:space="preserve">Według opracowania źródłowego, poniższe mnożniki dotyczą wszystkich kategorii kosztów użytkowników dróg, oprócz kosztów czasu. </v>
      </c>
      <c r="AB39" s="762"/>
      <c r="AC39" s="762"/>
      <c r="AD39" s="762"/>
      <c r="AE39" s="762"/>
      <c r="AF39" s="762"/>
      <c r="AG39" s="762"/>
      <c r="AH39" s="762"/>
    </row>
    <row r="40" spans="1:34" ht="15.75" thickBot="1">
      <c r="A40" s="330"/>
      <c r="B40" s="330"/>
      <c r="C40" s="330"/>
      <c r="D40" s="330"/>
      <c r="E40" s="330"/>
      <c r="F40" s="330"/>
      <c r="G40" s="330"/>
      <c r="H40" s="330"/>
      <c r="I40" s="330"/>
      <c r="J40" s="330"/>
      <c r="K40" s="330"/>
      <c r="L40" s="330"/>
      <c r="M40" s="330"/>
      <c r="N40" s="330"/>
      <c r="O40" s="330"/>
      <c r="P40" s="330"/>
      <c r="Q40" s="330"/>
      <c r="S40" s="754" t="s">
        <v>7</v>
      </c>
      <c r="T40" s="755"/>
      <c r="U40" s="756"/>
      <c r="W40" s="754" t="s">
        <v>7</v>
      </c>
      <c r="X40" s="755"/>
      <c r="Y40" s="756"/>
      <c r="Z40" s="330"/>
      <c r="AA40" s="762"/>
      <c r="AB40" s="762"/>
      <c r="AC40" s="762"/>
      <c r="AD40" s="762"/>
      <c r="AE40" s="762"/>
      <c r="AF40" s="762"/>
      <c r="AG40" s="762"/>
      <c r="AH40" s="762"/>
    </row>
    <row r="41" spans="1:34">
      <c r="A41" s="330"/>
      <c r="B41" s="330"/>
      <c r="C41" s="330"/>
      <c r="D41" s="330"/>
      <c r="E41" s="330"/>
      <c r="F41" s="330"/>
      <c r="G41" s="330"/>
      <c r="H41" s="330"/>
      <c r="I41" s="330"/>
      <c r="J41" s="330"/>
      <c r="K41" s="330"/>
      <c r="L41" s="330"/>
      <c r="M41" s="330"/>
      <c r="N41" s="330"/>
      <c r="O41" s="330"/>
      <c r="P41" s="330"/>
      <c r="Q41" s="330"/>
      <c r="S41" s="754" t="s">
        <v>8</v>
      </c>
      <c r="T41" s="755"/>
      <c r="U41" s="756"/>
      <c r="W41" s="754" t="s">
        <v>9</v>
      </c>
      <c r="X41" s="755"/>
      <c r="Y41" s="756"/>
      <c r="Z41" s="330"/>
      <c r="AA41" s="124" t="s">
        <v>45</v>
      </c>
      <c r="AB41" s="126"/>
      <c r="AC41" s="125"/>
      <c r="AD41" s="330"/>
      <c r="AE41" s="330"/>
      <c r="AF41" s="330"/>
      <c r="AG41" s="330"/>
      <c r="AH41" s="330"/>
    </row>
    <row r="42" spans="1:34" ht="15.75" thickBot="1">
      <c r="A42" s="330"/>
      <c r="B42" s="330"/>
      <c r="C42" s="330"/>
      <c r="D42" s="330"/>
      <c r="E42" s="330"/>
      <c r="F42" s="330"/>
      <c r="G42" s="330"/>
      <c r="H42" s="330"/>
      <c r="I42" s="330"/>
      <c r="J42" s="330"/>
      <c r="K42" s="330"/>
      <c r="L42" s="330"/>
      <c r="M42" s="330"/>
      <c r="N42" s="330"/>
      <c r="O42" s="330"/>
      <c r="P42" s="330"/>
      <c r="Q42" s="330"/>
      <c r="S42" s="25" t="s">
        <v>11</v>
      </c>
      <c r="T42" s="20" t="s">
        <v>10</v>
      </c>
      <c r="U42" s="21" t="s">
        <v>6</v>
      </c>
      <c r="W42" s="25" t="s">
        <v>11</v>
      </c>
      <c r="X42" s="20" t="s">
        <v>10</v>
      </c>
      <c r="Y42" s="21" t="s">
        <v>6</v>
      </c>
      <c r="Z42" s="330"/>
      <c r="AA42" s="25" t="s">
        <v>11</v>
      </c>
      <c r="AB42" s="20" t="s">
        <v>10</v>
      </c>
      <c r="AC42" s="21" t="s">
        <v>6</v>
      </c>
      <c r="AD42" s="330"/>
      <c r="AE42" s="330"/>
      <c r="AF42" s="330"/>
      <c r="AG42" s="330"/>
      <c r="AH42" s="330"/>
    </row>
    <row r="43" spans="1:34">
      <c r="A43" s="330"/>
      <c r="B43" s="330"/>
      <c r="C43" s="330"/>
      <c r="D43" s="330"/>
      <c r="E43" s="330"/>
      <c r="F43" s="330"/>
      <c r="G43" s="330"/>
      <c r="H43" s="330"/>
      <c r="I43" s="330"/>
      <c r="J43" s="330"/>
      <c r="K43" s="330"/>
      <c r="L43" s="330"/>
      <c r="M43" s="330"/>
      <c r="N43" s="330"/>
      <c r="O43" s="330"/>
      <c r="P43" s="330"/>
      <c r="Q43" s="330"/>
      <c r="S43" s="237" t="s">
        <v>14</v>
      </c>
      <c r="T43" s="238">
        <v>651.65168715951938</v>
      </c>
      <c r="U43" s="239">
        <v>1639.6119081728405</v>
      </c>
      <c r="W43" s="237" t="s">
        <v>14</v>
      </c>
      <c r="X43" s="238">
        <f t="shared" ref="X43:X56" si="4">T43*$AB43</f>
        <v>724.96250196496533</v>
      </c>
      <c r="Y43" s="239">
        <f t="shared" ref="Y43:Y56" si="5">U43*$AC43</f>
        <v>1844.5633966944456</v>
      </c>
      <c r="Z43" s="330"/>
      <c r="AA43" s="22">
        <v>5</v>
      </c>
      <c r="AB43" s="94">
        <f>'VOC eksploatacja samochody'!AB85</f>
        <v>1.1125</v>
      </c>
      <c r="AC43" s="95">
        <f>'VOC eksploatacja samochody'!AC85</f>
        <v>1.125</v>
      </c>
      <c r="AD43" s="330"/>
      <c r="AE43" s="330"/>
      <c r="AF43" s="330"/>
      <c r="AG43" s="330"/>
      <c r="AH43" s="330"/>
    </row>
    <row r="44" spans="1:34">
      <c r="A44" s="330"/>
      <c r="B44" s="330"/>
      <c r="C44" s="330"/>
      <c r="D44" s="330"/>
      <c r="E44" s="330"/>
      <c r="F44" s="330"/>
      <c r="G44" s="330"/>
      <c r="H44" s="330"/>
      <c r="I44" s="330"/>
      <c r="J44" s="330"/>
      <c r="K44" s="330"/>
      <c r="L44" s="330"/>
      <c r="M44" s="330"/>
      <c r="N44" s="330"/>
      <c r="O44" s="330"/>
      <c r="P44" s="330"/>
      <c r="Q44" s="330"/>
      <c r="S44" s="23" t="s">
        <v>27</v>
      </c>
      <c r="T44" s="96">
        <v>412.7201061515525</v>
      </c>
      <c r="U44" s="97">
        <v>913.17233760594104</v>
      </c>
      <c r="W44" s="23" t="s">
        <v>27</v>
      </c>
      <c r="X44" s="96">
        <f t="shared" si="4"/>
        <v>459.15111809360218</v>
      </c>
      <c r="Y44" s="97">
        <f t="shared" si="5"/>
        <v>1027.3188798066838</v>
      </c>
      <c r="Z44" s="330"/>
      <c r="AA44" s="23">
        <v>15</v>
      </c>
      <c r="AB44" s="96">
        <f>'VOC eksploatacja samochody'!AB86</f>
        <v>1.1125</v>
      </c>
      <c r="AC44" s="97">
        <f>'VOC eksploatacja samochody'!AC86</f>
        <v>1.125</v>
      </c>
      <c r="AD44" s="330"/>
      <c r="AE44" s="330"/>
      <c r="AF44" s="330"/>
      <c r="AG44" s="330"/>
      <c r="AH44" s="330"/>
    </row>
    <row r="45" spans="1:34">
      <c r="A45" s="330"/>
      <c r="B45" s="330"/>
      <c r="C45" s="330"/>
      <c r="D45" s="330"/>
      <c r="E45" s="330"/>
      <c r="F45" s="330"/>
      <c r="G45" s="330"/>
      <c r="H45" s="330"/>
      <c r="I45" s="330"/>
      <c r="J45" s="330"/>
      <c r="K45" s="330"/>
      <c r="L45" s="330"/>
      <c r="M45" s="330"/>
      <c r="N45" s="330"/>
      <c r="O45" s="330"/>
      <c r="P45" s="330"/>
      <c r="Q45" s="330"/>
      <c r="S45" s="23" t="s">
        <v>28</v>
      </c>
      <c r="T45" s="96">
        <v>314.4581505191743</v>
      </c>
      <c r="U45" s="97">
        <v>694.51788883595782</v>
      </c>
      <c r="W45" s="23" t="s">
        <v>28</v>
      </c>
      <c r="X45" s="96">
        <f t="shared" si="4"/>
        <v>349.83469245258141</v>
      </c>
      <c r="Y45" s="97">
        <f t="shared" si="5"/>
        <v>781.33262494045255</v>
      </c>
      <c r="Z45" s="330"/>
      <c r="AA45" s="23">
        <v>25</v>
      </c>
      <c r="AB45" s="96">
        <f>'VOC eksploatacja samochody'!AB87</f>
        <v>1.1125</v>
      </c>
      <c r="AC45" s="97">
        <f>'VOC eksploatacja samochody'!AC87</f>
        <v>1.125</v>
      </c>
      <c r="AD45" s="330"/>
      <c r="AE45" s="330"/>
      <c r="AF45" s="330"/>
      <c r="AG45" s="330"/>
      <c r="AH45" s="330"/>
    </row>
    <row r="46" spans="1:34">
      <c r="A46" s="330"/>
      <c r="B46" s="330"/>
      <c r="C46" s="330"/>
      <c r="D46" s="330"/>
      <c r="E46" s="330"/>
      <c r="F46" s="330"/>
      <c r="G46" s="330"/>
      <c r="H46" s="330"/>
      <c r="I46" s="330"/>
      <c r="J46" s="330"/>
      <c r="K46" s="330"/>
      <c r="L46" s="330"/>
      <c r="M46" s="330"/>
      <c r="N46" s="330"/>
      <c r="O46" s="330"/>
      <c r="P46" s="330"/>
      <c r="Q46" s="330"/>
      <c r="S46" s="23" t="s">
        <v>29</v>
      </c>
      <c r="T46" s="96">
        <v>255.38574188272048</v>
      </c>
      <c r="U46" s="97">
        <v>583.51998990877598</v>
      </c>
      <c r="W46" s="23" t="s">
        <v>29</v>
      </c>
      <c r="X46" s="96">
        <f t="shared" si="4"/>
        <v>284.11663784452657</v>
      </c>
      <c r="Y46" s="97">
        <f t="shared" si="5"/>
        <v>656.45998864737294</v>
      </c>
      <c r="Z46" s="330"/>
      <c r="AA46" s="23">
        <v>35</v>
      </c>
      <c r="AB46" s="96">
        <f>'VOC eksploatacja samochody'!AB88</f>
        <v>1.1125</v>
      </c>
      <c r="AC46" s="97">
        <f>'VOC eksploatacja samochody'!AC88</f>
        <v>1.125</v>
      </c>
      <c r="AD46" s="330"/>
      <c r="AE46" s="330"/>
      <c r="AF46" s="330"/>
      <c r="AG46" s="330"/>
      <c r="AH46" s="330"/>
    </row>
    <row r="47" spans="1:34">
      <c r="A47" s="330"/>
      <c r="B47" s="330"/>
      <c r="C47" s="330"/>
      <c r="D47" s="330"/>
      <c r="E47" s="330"/>
      <c r="F47" s="330"/>
      <c r="G47" s="330"/>
      <c r="H47" s="330"/>
      <c r="I47" s="330"/>
      <c r="J47" s="330"/>
      <c r="K47" s="330"/>
      <c r="L47" s="330"/>
      <c r="M47" s="330"/>
      <c r="N47" s="330"/>
      <c r="O47" s="330"/>
      <c r="P47" s="330"/>
      <c r="Q47" s="330"/>
      <c r="S47" s="23" t="s">
        <v>30</v>
      </c>
      <c r="T47" s="96">
        <v>216.347012868332</v>
      </c>
      <c r="U47" s="97">
        <v>522.58895609446085</v>
      </c>
      <c r="W47" s="23" t="s">
        <v>30</v>
      </c>
      <c r="X47" s="96">
        <f t="shared" si="4"/>
        <v>240.68605181601936</v>
      </c>
      <c r="Y47" s="97">
        <f t="shared" si="5"/>
        <v>587.91257560626843</v>
      </c>
      <c r="Z47" s="330"/>
      <c r="AA47" s="23">
        <v>45</v>
      </c>
      <c r="AB47" s="96">
        <f>'VOC eksploatacja samochody'!AB89</f>
        <v>1.1125</v>
      </c>
      <c r="AC47" s="97">
        <f>'VOC eksploatacja samochody'!AC89</f>
        <v>1.125</v>
      </c>
      <c r="AD47" s="330"/>
      <c r="AE47" s="330"/>
      <c r="AF47" s="330"/>
      <c r="AG47" s="330"/>
      <c r="AH47" s="330"/>
    </row>
    <row r="48" spans="1:34">
      <c r="A48" s="330"/>
      <c r="B48" s="330"/>
      <c r="C48" s="330"/>
      <c r="D48" s="330"/>
      <c r="E48" s="330"/>
      <c r="F48" s="330"/>
      <c r="G48" s="330"/>
      <c r="H48" s="330"/>
      <c r="I48" s="330"/>
      <c r="J48" s="330"/>
      <c r="K48" s="330"/>
      <c r="L48" s="330"/>
      <c r="M48" s="330"/>
      <c r="N48" s="330"/>
      <c r="O48" s="330"/>
      <c r="P48" s="330"/>
      <c r="Q48" s="330"/>
      <c r="S48" s="23" t="s">
        <v>31</v>
      </c>
      <c r="T48" s="96">
        <v>190.2778027438263</v>
      </c>
      <c r="U48" s="97">
        <v>490.17560067083275</v>
      </c>
      <c r="W48" s="23" t="s">
        <v>31</v>
      </c>
      <c r="X48" s="96">
        <f t="shared" si="4"/>
        <v>215.25176435395352</v>
      </c>
      <c r="Y48" s="97">
        <f t="shared" si="5"/>
        <v>561.65954243532917</v>
      </c>
      <c r="Z48" s="330"/>
      <c r="AA48" s="23">
        <v>55</v>
      </c>
      <c r="AB48" s="96">
        <f>'VOC eksploatacja samochody'!AB90</f>
        <v>1.1312500000000001</v>
      </c>
      <c r="AC48" s="97">
        <f>'VOC eksploatacja samochody'!AC90</f>
        <v>1.1458333333333333</v>
      </c>
      <c r="AD48" s="330"/>
      <c r="AE48" s="330"/>
      <c r="AF48" s="330"/>
      <c r="AG48" s="330"/>
      <c r="AH48" s="330"/>
    </row>
    <row r="49" spans="1:34">
      <c r="A49" s="330"/>
      <c r="B49" s="330"/>
      <c r="C49" s="330"/>
      <c r="D49" s="330"/>
      <c r="E49" s="330"/>
      <c r="F49" s="330"/>
      <c r="G49" s="330"/>
      <c r="H49" s="330"/>
      <c r="I49" s="330"/>
      <c r="J49" s="330"/>
      <c r="K49" s="330"/>
      <c r="L49" s="330"/>
      <c r="M49" s="330"/>
      <c r="N49" s="330"/>
      <c r="O49" s="330"/>
      <c r="P49" s="330"/>
      <c r="Q49" s="330"/>
      <c r="S49" s="23" t="s">
        <v>32</v>
      </c>
      <c r="T49" s="96">
        <v>173.75326863505259</v>
      </c>
      <c r="U49" s="97">
        <v>474.97409612620265</v>
      </c>
      <c r="W49" s="23" t="s">
        <v>32</v>
      </c>
      <c r="X49" s="96">
        <f t="shared" si="4"/>
        <v>199.81625893031051</v>
      </c>
      <c r="Y49" s="97">
        <f t="shared" si="5"/>
        <v>554.13644548056982</v>
      </c>
      <c r="Z49" s="330"/>
      <c r="AA49" s="23">
        <v>65</v>
      </c>
      <c r="AB49" s="96">
        <f>'VOC eksploatacja samochody'!AB91</f>
        <v>1.1500000000000001</v>
      </c>
      <c r="AC49" s="97">
        <f>'VOC eksploatacja samochody'!AC91</f>
        <v>1.1666666666666667</v>
      </c>
      <c r="AD49" s="330"/>
      <c r="AE49" s="330"/>
      <c r="AF49" s="330"/>
      <c r="AG49" s="330"/>
      <c r="AH49" s="330"/>
    </row>
    <row r="50" spans="1:34">
      <c r="A50" s="330"/>
      <c r="B50" s="330"/>
      <c r="C50" s="330"/>
      <c r="D50" s="330"/>
      <c r="E50" s="330"/>
      <c r="F50" s="330"/>
      <c r="G50" s="330"/>
      <c r="H50" s="330"/>
      <c r="I50" s="330"/>
      <c r="J50" s="330"/>
      <c r="K50" s="330"/>
      <c r="L50" s="330"/>
      <c r="M50" s="330"/>
      <c r="N50" s="330"/>
      <c r="O50" s="330"/>
      <c r="P50" s="330"/>
      <c r="Q50" s="330"/>
      <c r="S50" s="23" t="s">
        <v>33</v>
      </c>
      <c r="T50" s="96">
        <v>164.82997076097206</v>
      </c>
      <c r="U50" s="97">
        <v>470.83081135241491</v>
      </c>
      <c r="W50" s="23" t="s">
        <v>33</v>
      </c>
      <c r="X50" s="96">
        <f t="shared" si="4"/>
        <v>192.64502832688612</v>
      </c>
      <c r="Y50" s="97">
        <f t="shared" si="5"/>
        <v>559.11158848099274</v>
      </c>
      <c r="Z50" s="330"/>
      <c r="AA50" s="23">
        <v>75</v>
      </c>
      <c r="AB50" s="96">
        <f>'VOC eksploatacja samochody'!AB92</f>
        <v>1.1687500000000002</v>
      </c>
      <c r="AC50" s="97">
        <f>'VOC eksploatacja samochody'!AC92</f>
        <v>1.1875</v>
      </c>
      <c r="AD50" s="330"/>
      <c r="AE50" s="330"/>
      <c r="AF50" s="330"/>
      <c r="AG50" s="330"/>
      <c r="AH50" s="330"/>
    </row>
    <row r="51" spans="1:34">
      <c r="A51" s="330"/>
      <c r="B51" s="330"/>
      <c r="C51" s="330"/>
      <c r="D51" s="330"/>
      <c r="E51" s="330"/>
      <c r="F51" s="330"/>
      <c r="G51" s="330"/>
      <c r="H51" s="330"/>
      <c r="I51" s="330"/>
      <c r="J51" s="330"/>
      <c r="K51" s="330"/>
      <c r="L51" s="330"/>
      <c r="M51" s="330"/>
      <c r="N51" s="330"/>
      <c r="O51" s="330"/>
      <c r="P51" s="330"/>
      <c r="Q51" s="330"/>
      <c r="S51" s="99" t="s">
        <v>34</v>
      </c>
      <c r="T51" s="100">
        <v>162.28446761306157</v>
      </c>
      <c r="U51" s="98">
        <v>475.45541756475978</v>
      </c>
      <c r="W51" s="99" t="s">
        <v>34</v>
      </c>
      <c r="X51" s="100">
        <f t="shared" si="4"/>
        <v>192.7128052905106</v>
      </c>
      <c r="Y51" s="98">
        <f t="shared" si="5"/>
        <v>574.50862955741809</v>
      </c>
      <c r="Z51" s="330"/>
      <c r="AA51" s="99">
        <v>85</v>
      </c>
      <c r="AB51" s="96">
        <f>'VOC eksploatacja samochody'!AB93</f>
        <v>1.1875</v>
      </c>
      <c r="AC51" s="97">
        <f>'VOC eksploatacja samochody'!AC93</f>
        <v>1.2083333333333333</v>
      </c>
      <c r="AD51" s="330"/>
      <c r="AE51" s="330"/>
      <c r="AF51" s="330"/>
      <c r="AG51" s="330"/>
      <c r="AH51" s="330"/>
    </row>
    <row r="52" spans="1:34">
      <c r="A52" s="330"/>
      <c r="B52" s="330"/>
      <c r="C52" s="330"/>
      <c r="D52" s="330"/>
      <c r="E52" s="330"/>
      <c r="F52" s="330"/>
      <c r="G52" s="330"/>
      <c r="H52" s="330"/>
      <c r="I52" s="330"/>
      <c r="J52" s="330"/>
      <c r="K52" s="330"/>
      <c r="L52" s="330"/>
      <c r="M52" s="330"/>
      <c r="N52" s="330"/>
      <c r="O52" s="330"/>
      <c r="P52" s="330"/>
      <c r="Q52" s="330"/>
      <c r="S52" s="99" t="s">
        <v>35</v>
      </c>
      <c r="T52" s="100">
        <v>165.28743160204351</v>
      </c>
      <c r="U52" s="98">
        <v>493.09182952372709</v>
      </c>
      <c r="W52" s="99" t="s">
        <v>35</v>
      </c>
      <c r="X52" s="100">
        <f t="shared" si="4"/>
        <v>199.37796436996499</v>
      </c>
      <c r="Y52" s="98">
        <f t="shared" si="5"/>
        <v>606.0920404562479</v>
      </c>
      <c r="Z52" s="330"/>
      <c r="AA52" s="99">
        <v>95</v>
      </c>
      <c r="AB52" s="96">
        <f>'VOC eksploatacja samochody'!AB94</f>
        <v>1.20625</v>
      </c>
      <c r="AC52" s="97">
        <f>'VOC eksploatacja samochody'!AC94</f>
        <v>1.2291666666666667</v>
      </c>
      <c r="AD52" s="330"/>
      <c r="AE52" s="330"/>
      <c r="AF52" s="330"/>
      <c r="AG52" s="330"/>
      <c r="AH52" s="330"/>
    </row>
    <row r="53" spans="1:34">
      <c r="A53" s="330"/>
      <c r="B53" s="330"/>
      <c r="C53" s="330"/>
      <c r="D53" s="330"/>
      <c r="E53" s="330"/>
      <c r="F53" s="330"/>
      <c r="G53" s="330"/>
      <c r="H53" s="330"/>
      <c r="I53" s="330"/>
      <c r="J53" s="330"/>
      <c r="K53" s="330"/>
      <c r="L53" s="330"/>
      <c r="M53" s="330"/>
      <c r="N53" s="330"/>
      <c r="O53" s="330"/>
      <c r="P53" s="330"/>
      <c r="Q53" s="330"/>
      <c r="S53" s="99" t="s">
        <v>36</v>
      </c>
      <c r="T53" s="100">
        <v>173.24462884899583</v>
      </c>
      <c r="U53" s="98">
        <v>567.58896979576514</v>
      </c>
      <c r="W53" s="99" t="s">
        <v>36</v>
      </c>
      <c r="X53" s="100">
        <f t="shared" si="4"/>
        <v>212.22467034001991</v>
      </c>
      <c r="Y53" s="98">
        <f t="shared" si="5"/>
        <v>709.48621224470639</v>
      </c>
      <c r="Z53" s="330"/>
      <c r="AA53" s="99">
        <v>105</v>
      </c>
      <c r="AB53" s="100">
        <f>'VOC eksploatacja samochody'!AB95</f>
        <v>1.2250000000000001</v>
      </c>
      <c r="AC53" s="98">
        <f>'VOC eksploatacja samochody'!AC95</f>
        <v>1.25</v>
      </c>
      <c r="AD53" s="330"/>
      <c r="AE53" s="330"/>
      <c r="AF53" s="330"/>
      <c r="AG53" s="330"/>
      <c r="AH53" s="330"/>
    </row>
    <row r="54" spans="1:34">
      <c r="A54" s="330"/>
      <c r="B54" s="330"/>
      <c r="C54" s="330"/>
      <c r="D54" s="330"/>
      <c r="E54" s="330"/>
      <c r="F54" s="330"/>
      <c r="G54" s="330"/>
      <c r="H54" s="330"/>
      <c r="I54" s="330"/>
      <c r="J54" s="330"/>
      <c r="K54" s="330"/>
      <c r="L54" s="330"/>
      <c r="M54" s="330"/>
      <c r="N54" s="330"/>
      <c r="O54" s="330"/>
      <c r="P54" s="330"/>
      <c r="Q54" s="330"/>
      <c r="S54" s="99" t="s">
        <v>37</v>
      </c>
      <c r="T54" s="100">
        <v>185.71152476082827</v>
      </c>
      <c r="U54" s="98">
        <v>642.08611006780325</v>
      </c>
      <c r="W54" s="99" t="s">
        <v>37</v>
      </c>
      <c r="X54" s="100">
        <f t="shared" si="4"/>
        <v>227.49661783201464</v>
      </c>
      <c r="Y54" s="98">
        <f t="shared" si="5"/>
        <v>802.607637584754</v>
      </c>
      <c r="Z54" s="330"/>
      <c r="AA54" s="99">
        <v>115</v>
      </c>
      <c r="AB54" s="100">
        <f>'VOC eksploatacja samochody'!AB96</f>
        <v>1.2250000000000001</v>
      </c>
      <c r="AC54" s="98">
        <f>'VOC eksploatacja samochody'!AC96</f>
        <v>1.25</v>
      </c>
      <c r="AD54" s="330"/>
      <c r="AE54" s="330"/>
      <c r="AF54" s="330"/>
      <c r="AG54" s="330"/>
      <c r="AH54" s="330"/>
    </row>
    <row r="55" spans="1:34">
      <c r="A55" s="330"/>
      <c r="B55" s="330"/>
      <c r="C55" s="330"/>
      <c r="D55" s="330"/>
      <c r="E55" s="330"/>
      <c r="F55" s="330"/>
      <c r="G55" s="330"/>
      <c r="H55" s="330"/>
      <c r="I55" s="330"/>
      <c r="J55" s="330"/>
      <c r="K55" s="330"/>
      <c r="L55" s="330"/>
      <c r="M55" s="330"/>
      <c r="N55" s="330"/>
      <c r="O55" s="330"/>
      <c r="P55" s="330"/>
      <c r="Q55" s="330"/>
      <c r="S55" s="23" t="s">
        <v>38</v>
      </c>
      <c r="T55" s="96">
        <v>202.3439353482982</v>
      </c>
      <c r="U55" s="98">
        <v>716.58325033984124</v>
      </c>
      <c r="W55" s="23" t="s">
        <v>38</v>
      </c>
      <c r="X55" s="96">
        <f t="shared" si="4"/>
        <v>247.87132080166532</v>
      </c>
      <c r="Y55" s="98">
        <f t="shared" si="5"/>
        <v>895.72906292480161</v>
      </c>
      <c r="Z55" s="330"/>
      <c r="AA55" s="23">
        <v>125</v>
      </c>
      <c r="AB55" s="100">
        <f>'VOC eksploatacja samochody'!AB97</f>
        <v>1.2250000000000001</v>
      </c>
      <c r="AC55" s="98">
        <f>'VOC eksploatacja samochody'!AC97</f>
        <v>1.25</v>
      </c>
      <c r="AD55" s="330"/>
      <c r="AE55" s="330"/>
      <c r="AF55" s="330"/>
      <c r="AG55" s="330"/>
      <c r="AH55" s="330"/>
    </row>
    <row r="56" spans="1:34" ht="15.75" thickBot="1">
      <c r="A56" s="330"/>
      <c r="B56" s="330"/>
      <c r="C56" s="330"/>
      <c r="D56" s="330"/>
      <c r="E56" s="330"/>
      <c r="F56" s="330"/>
      <c r="G56" s="330"/>
      <c r="H56" s="330"/>
      <c r="I56" s="330"/>
      <c r="J56" s="330"/>
      <c r="K56" s="330"/>
      <c r="L56" s="330"/>
      <c r="M56" s="330"/>
      <c r="N56" s="330"/>
      <c r="O56" s="330"/>
      <c r="P56" s="330"/>
      <c r="Q56" s="330"/>
      <c r="S56" s="24" t="s">
        <v>15</v>
      </c>
      <c r="T56" s="240">
        <v>222.86780020095051</v>
      </c>
      <c r="U56" s="123">
        <v>791.08039061187924</v>
      </c>
      <c r="W56" s="24" t="s">
        <v>15</v>
      </c>
      <c r="X56" s="240">
        <f t="shared" si="4"/>
        <v>273.01305524616441</v>
      </c>
      <c r="Y56" s="123">
        <f t="shared" si="5"/>
        <v>988.85048826484899</v>
      </c>
      <c r="Z56" s="330"/>
      <c r="AA56" s="24">
        <v>135</v>
      </c>
      <c r="AB56" s="127">
        <f>'VOC eksploatacja samochody'!AB98</f>
        <v>1.2250000000000001</v>
      </c>
      <c r="AC56" s="123">
        <f>'VOC eksploatacja samochody'!AC98</f>
        <v>1.25</v>
      </c>
      <c r="AD56" s="330"/>
      <c r="AE56" s="330"/>
      <c r="AF56" s="330"/>
      <c r="AG56" s="330"/>
      <c r="AH56" s="330"/>
    </row>
    <row r="57" spans="1:34">
      <c r="A57" s="330"/>
      <c r="B57" s="330"/>
      <c r="C57" s="330"/>
      <c r="D57" s="330"/>
      <c r="E57" s="330"/>
      <c r="F57" s="330"/>
      <c r="G57" s="330"/>
      <c r="H57" s="330"/>
      <c r="I57" s="330"/>
      <c r="J57" s="330"/>
      <c r="K57" s="330"/>
      <c r="L57" s="330"/>
      <c r="M57" s="330"/>
      <c r="N57" s="330"/>
      <c r="O57" s="330"/>
      <c r="P57" s="330"/>
      <c r="Q57" s="330"/>
      <c r="S57" s="35" t="s">
        <v>660</v>
      </c>
      <c r="T57" s="330"/>
      <c r="U57" s="330"/>
      <c r="W57" s="330"/>
      <c r="X57" s="330"/>
      <c r="Y57" s="330"/>
      <c r="Z57" s="330"/>
      <c r="AA57" s="208" t="str">
        <f>'VOC eksploatacja samochody'!$AA$99</f>
        <v>Źródło: Obliczenia własne na podstawie "Optimisation of Maintenance", OECD/ITF 2012, str. 12</v>
      </c>
      <c r="AB57" s="330"/>
      <c r="AC57" s="330"/>
      <c r="AD57" s="330"/>
      <c r="AE57" s="330"/>
      <c r="AF57" s="330"/>
      <c r="AG57" s="330"/>
      <c r="AH57" s="330"/>
    </row>
    <row r="58" spans="1:34">
      <c r="A58" s="330"/>
      <c r="B58" s="330"/>
      <c r="C58" s="330"/>
      <c r="D58" s="330"/>
      <c r="E58" s="330"/>
      <c r="F58" s="330"/>
      <c r="G58" s="330"/>
      <c r="H58" s="330"/>
      <c r="I58" s="330"/>
      <c r="J58" s="330"/>
      <c r="K58" s="330"/>
      <c r="L58" s="330"/>
      <c r="M58" s="330"/>
      <c r="N58" s="330"/>
      <c r="O58" s="330"/>
      <c r="P58" s="330"/>
      <c r="Q58" s="330"/>
      <c r="R58" s="330"/>
      <c r="S58" s="35" t="s">
        <v>661</v>
      </c>
      <c r="T58" s="330"/>
      <c r="U58" s="330"/>
      <c r="V58" s="330"/>
      <c r="W58" s="330"/>
      <c r="X58" s="330"/>
      <c r="Y58" s="330"/>
      <c r="Z58" s="330"/>
      <c r="AA58" s="330"/>
      <c r="AB58" s="330"/>
      <c r="AC58" s="330"/>
      <c r="AD58" s="330"/>
      <c r="AE58" s="330"/>
      <c r="AF58" s="330"/>
      <c r="AG58" s="330"/>
      <c r="AH58" s="330"/>
    </row>
    <row r="59" spans="1:34">
      <c r="A59" s="330"/>
      <c r="B59" s="330"/>
      <c r="C59" s="330"/>
      <c r="D59" s="330"/>
      <c r="E59" s="330"/>
      <c r="F59" s="330"/>
      <c r="G59" s="330"/>
      <c r="H59" s="330"/>
      <c r="I59" s="330"/>
      <c r="J59" s="330"/>
      <c r="K59" s="330"/>
      <c r="L59" s="330"/>
      <c r="M59" s="330"/>
      <c r="N59" s="330"/>
      <c r="O59" s="330"/>
      <c r="P59" s="330"/>
      <c r="Q59" s="330"/>
      <c r="R59" s="330"/>
      <c r="S59" s="35" t="s">
        <v>662</v>
      </c>
      <c r="T59" s="330"/>
      <c r="U59" s="330"/>
      <c r="V59" s="330"/>
      <c r="W59" s="330"/>
      <c r="X59" s="330"/>
      <c r="Y59" s="330"/>
      <c r="Z59" s="330"/>
      <c r="AA59" s="330"/>
      <c r="AB59" s="330"/>
      <c r="AC59" s="330"/>
      <c r="AD59" s="330"/>
      <c r="AE59" s="330"/>
      <c r="AF59" s="330"/>
      <c r="AG59" s="330"/>
      <c r="AH59" s="330"/>
    </row>
    <row r="60" spans="1:34"/>
    <row r="61" spans="1:34" ht="18" customHeight="1">
      <c r="A61" s="715" t="s">
        <v>663</v>
      </c>
      <c r="B61" s="715"/>
      <c r="C61" s="715"/>
      <c r="D61" s="715"/>
      <c r="E61" s="715"/>
      <c r="F61" s="715"/>
      <c r="G61" s="715"/>
      <c r="H61" s="715"/>
      <c r="I61" s="715"/>
      <c r="J61" s="715"/>
      <c r="K61" s="715"/>
      <c r="L61" s="715"/>
      <c r="M61" s="715"/>
      <c r="N61" s="715"/>
      <c r="O61" s="715"/>
      <c r="P61" s="715"/>
      <c r="Q61" s="715"/>
      <c r="R61" s="715"/>
      <c r="S61" s="715"/>
      <c r="T61" s="715"/>
      <c r="U61" s="715"/>
      <c r="V61" s="715"/>
    </row>
    <row r="62" spans="1:34" s="613" customFormat="1">
      <c r="A62" s="715"/>
      <c r="B62" s="715"/>
      <c r="C62" s="715"/>
      <c r="D62" s="715"/>
      <c r="E62" s="715"/>
      <c r="F62" s="715"/>
      <c r="G62" s="715"/>
      <c r="H62" s="715"/>
      <c r="I62" s="715"/>
      <c r="J62" s="715"/>
      <c r="K62" s="715"/>
      <c r="L62" s="715"/>
      <c r="M62" s="715"/>
      <c r="N62" s="715"/>
      <c r="O62" s="715"/>
      <c r="P62" s="715"/>
      <c r="Q62" s="715"/>
      <c r="R62" s="715"/>
      <c r="S62" s="715"/>
      <c r="T62" s="715"/>
      <c r="U62" s="715"/>
      <c r="V62" s="715"/>
    </row>
    <row r="63" spans="1:34" ht="18" customHeight="1">
      <c r="A63" s="715" t="s">
        <v>664</v>
      </c>
      <c r="B63" s="715"/>
      <c r="C63" s="715"/>
      <c r="D63" s="715"/>
      <c r="E63" s="715"/>
      <c r="F63" s="715"/>
      <c r="G63" s="715"/>
      <c r="H63" s="715"/>
      <c r="I63" s="715"/>
      <c r="J63" s="715"/>
      <c r="K63" s="715"/>
      <c r="L63" s="715"/>
      <c r="M63" s="715"/>
      <c r="N63" s="715"/>
      <c r="O63" s="715"/>
      <c r="P63" s="715"/>
      <c r="Q63" s="715"/>
      <c r="R63" s="715"/>
      <c r="S63" s="715"/>
      <c r="T63" s="715"/>
      <c r="U63" s="715"/>
      <c r="V63" s="715"/>
    </row>
    <row r="64" spans="1:34" s="613" customFormat="1">
      <c r="A64" s="715"/>
      <c r="B64" s="715"/>
      <c r="C64" s="715"/>
      <c r="D64" s="715"/>
      <c r="E64" s="715"/>
      <c r="F64" s="715"/>
      <c r="G64" s="715"/>
      <c r="H64" s="715"/>
      <c r="I64" s="715"/>
      <c r="J64" s="715"/>
      <c r="K64" s="715"/>
      <c r="L64" s="715"/>
      <c r="M64" s="715"/>
      <c r="N64" s="715"/>
      <c r="O64" s="715"/>
      <c r="P64" s="715"/>
      <c r="Q64" s="715"/>
      <c r="R64" s="715"/>
      <c r="S64" s="715"/>
      <c r="T64" s="715"/>
      <c r="U64" s="715"/>
      <c r="V64" s="715"/>
    </row>
    <row r="65" spans="1:61" ht="18">
      <c r="A65" s="330" t="s">
        <v>665</v>
      </c>
      <c r="B65" s="330"/>
      <c r="C65" s="330"/>
      <c r="D65" s="330"/>
      <c r="E65" s="330"/>
      <c r="F65" s="330"/>
      <c r="G65" s="330"/>
      <c r="H65" s="330"/>
      <c r="I65" s="330"/>
      <c r="J65" s="330"/>
      <c r="K65" s="330"/>
      <c r="L65" s="330"/>
      <c r="M65" s="330"/>
      <c r="N65" s="330"/>
      <c r="O65" s="330"/>
      <c r="P65" s="330"/>
      <c r="Q65" s="330"/>
      <c r="R65" s="330"/>
      <c r="S65" s="330"/>
      <c r="T65" s="330"/>
      <c r="U65" s="330"/>
    </row>
    <row r="66" spans="1:61">
      <c r="A66" s="330"/>
      <c r="B66" s="330"/>
      <c r="C66" s="330"/>
      <c r="D66" s="330"/>
      <c r="E66" s="330"/>
      <c r="F66" s="330"/>
      <c r="G66" s="330"/>
      <c r="H66" s="330"/>
      <c r="I66" s="330"/>
      <c r="J66" s="330"/>
      <c r="K66" s="330"/>
      <c r="L66" s="330"/>
      <c r="M66" s="330"/>
      <c r="N66" s="330"/>
      <c r="O66" s="330"/>
      <c r="P66" s="330"/>
      <c r="Q66" s="330"/>
      <c r="R66" s="330"/>
      <c r="S66" s="330"/>
      <c r="T66" s="330"/>
      <c r="U66" s="330"/>
    </row>
    <row r="67" spans="1:61">
      <c r="A67" s="715" t="str">
        <f>'VOC eksploatacja samochody'!$A$198</f>
        <v xml:space="preserve">Dodatkowo, dla dróg w terenie falistym (tzn. jeśli nachylenie podłużne drogi wynosi pomiędzy 2% i 6%), należy przemnożyć wartości dla terenu płaskiego przez poniższe współczynniki. </v>
      </c>
      <c r="B67" s="715"/>
      <c r="C67" s="715"/>
      <c r="D67" s="715"/>
      <c r="E67" s="715"/>
      <c r="F67" s="715"/>
      <c r="G67" s="715"/>
      <c r="H67" s="715"/>
      <c r="I67" s="715"/>
      <c r="J67" s="715"/>
      <c r="K67" s="715"/>
      <c r="L67" s="715"/>
      <c r="M67" s="715"/>
      <c r="N67" s="715"/>
      <c r="O67" s="715"/>
      <c r="P67" s="715"/>
      <c r="Q67" s="715"/>
      <c r="R67" s="715"/>
      <c r="S67" s="715"/>
      <c r="T67" s="715"/>
      <c r="U67" s="715"/>
      <c r="V67" s="715"/>
    </row>
    <row r="68" spans="1:61" s="613" customFormat="1">
      <c r="A68" s="715"/>
      <c r="B68" s="715"/>
      <c r="C68" s="715"/>
      <c r="D68" s="715"/>
      <c r="E68" s="715"/>
      <c r="F68" s="715"/>
      <c r="G68" s="715"/>
      <c r="H68" s="715"/>
      <c r="I68" s="715"/>
      <c r="J68" s="715"/>
      <c r="K68" s="715"/>
      <c r="L68" s="715"/>
      <c r="M68" s="715"/>
      <c r="N68" s="715"/>
      <c r="O68" s="715"/>
      <c r="P68" s="715"/>
      <c r="Q68" s="715"/>
      <c r="R68" s="715"/>
      <c r="S68" s="715"/>
      <c r="T68" s="715"/>
      <c r="U68" s="715"/>
      <c r="V68" s="715"/>
    </row>
    <row r="69" spans="1:61">
      <c r="A69" s="715" t="str">
        <f>'VOC eksploatacja samochody'!$A$200</f>
        <v xml:space="preserve">Pominięto współczynniki dla dróg w terenie górskim, tj. o nachyleniu podłużnym powyżej 6%, ponieważ nie mają one istotnego znaczenia dla oceny przez CUPT projektów transportowych realizowanych w Polsce. </v>
      </c>
      <c r="B69" s="715"/>
      <c r="C69" s="715"/>
      <c r="D69" s="715"/>
      <c r="E69" s="715"/>
      <c r="F69" s="715"/>
      <c r="G69" s="715"/>
      <c r="H69" s="715"/>
      <c r="I69" s="715"/>
      <c r="J69" s="715"/>
      <c r="K69" s="715"/>
      <c r="L69" s="715"/>
      <c r="M69" s="715"/>
      <c r="N69" s="715"/>
      <c r="O69" s="715"/>
      <c r="P69" s="715"/>
      <c r="Q69" s="715"/>
      <c r="R69" s="715"/>
      <c r="S69" s="715"/>
      <c r="T69" s="715"/>
      <c r="U69" s="715"/>
      <c r="V69" s="715"/>
    </row>
    <row r="70" spans="1:61" s="613" customFormat="1">
      <c r="A70" s="715"/>
      <c r="B70" s="715"/>
      <c r="C70" s="715"/>
      <c r="D70" s="715"/>
      <c r="E70" s="715"/>
      <c r="F70" s="715"/>
      <c r="G70" s="715"/>
      <c r="H70" s="715"/>
      <c r="I70" s="715"/>
      <c r="J70" s="715"/>
      <c r="K70" s="715"/>
      <c r="L70" s="715"/>
      <c r="M70" s="715"/>
      <c r="N70" s="715"/>
      <c r="O70" s="715"/>
      <c r="P70" s="715"/>
      <c r="Q70" s="715"/>
      <c r="R70" s="715"/>
      <c r="S70" s="715"/>
      <c r="T70" s="715"/>
      <c r="U70" s="715"/>
      <c r="V70" s="715"/>
    </row>
    <row r="71" spans="1:61" s="546" customFormat="1" ht="15.75" thickBot="1">
      <c r="A71" s="546" t="s">
        <v>386</v>
      </c>
    </row>
    <row r="72" spans="1:61">
      <c r="A72" s="330"/>
      <c r="B72" s="330"/>
      <c r="C72" s="330"/>
      <c r="D72" s="330"/>
      <c r="E72" s="330"/>
      <c r="F72" s="330"/>
      <c r="G72" s="330"/>
      <c r="H72" s="330"/>
      <c r="I72" s="330"/>
      <c r="J72" s="330"/>
      <c r="K72" s="330"/>
      <c r="L72" s="330"/>
      <c r="M72" s="330"/>
      <c r="N72" s="330"/>
      <c r="O72" s="330"/>
      <c r="P72" s="330"/>
      <c r="Q72" s="330"/>
      <c r="R72" s="330"/>
      <c r="S72" s="124" t="s">
        <v>44</v>
      </c>
      <c r="T72" s="126"/>
      <c r="U72" s="125"/>
    </row>
    <row r="73" spans="1:61" ht="15.75" thickBot="1">
      <c r="A73" s="330"/>
      <c r="B73" s="330"/>
      <c r="C73" s="330"/>
      <c r="D73" s="330"/>
      <c r="E73" s="330"/>
      <c r="F73" s="330"/>
      <c r="G73" s="330"/>
      <c r="H73" s="330"/>
      <c r="I73" s="330"/>
      <c r="J73" s="330"/>
      <c r="K73" s="330"/>
      <c r="L73" s="330"/>
      <c r="M73" s="330"/>
      <c r="N73" s="330"/>
      <c r="O73" s="330"/>
      <c r="P73" s="330"/>
      <c r="Q73" s="330"/>
      <c r="R73" s="330"/>
      <c r="S73" s="32" t="s">
        <v>43</v>
      </c>
      <c r="T73" s="33" t="s">
        <v>10</v>
      </c>
      <c r="U73" s="34" t="s">
        <v>6</v>
      </c>
    </row>
    <row r="74" spans="1:61">
      <c r="A74" s="330"/>
      <c r="B74" s="330"/>
      <c r="C74" s="330"/>
      <c r="D74" s="330"/>
      <c r="E74" s="330"/>
      <c r="F74" s="330"/>
      <c r="G74" s="330"/>
      <c r="H74" s="330"/>
      <c r="I74" s="330"/>
      <c r="J74" s="330"/>
      <c r="K74" s="330"/>
      <c r="L74" s="330"/>
      <c r="M74" s="330"/>
      <c r="N74" s="330"/>
      <c r="O74" s="330"/>
      <c r="P74" s="330"/>
      <c r="Q74" s="330"/>
      <c r="R74" s="330"/>
      <c r="S74" s="26" t="s">
        <v>13</v>
      </c>
      <c r="T74" s="30">
        <v>1</v>
      </c>
      <c r="U74" s="31">
        <v>1</v>
      </c>
    </row>
    <row r="75" spans="1:61" ht="15.75" thickBot="1">
      <c r="A75" s="330"/>
      <c r="B75" s="330"/>
      <c r="C75" s="330"/>
      <c r="D75" s="330"/>
      <c r="E75" s="330"/>
      <c r="F75" s="330"/>
      <c r="G75" s="330"/>
      <c r="H75" s="330"/>
      <c r="I75" s="330"/>
      <c r="J75" s="330"/>
      <c r="K75" s="330"/>
      <c r="L75" s="330"/>
      <c r="M75" s="330"/>
      <c r="N75" s="330"/>
      <c r="O75" s="330"/>
      <c r="P75" s="330"/>
      <c r="Q75" s="330"/>
      <c r="R75" s="330"/>
      <c r="S75" s="27" t="s">
        <v>12</v>
      </c>
      <c r="T75" s="28">
        <v>1.1499999999999999</v>
      </c>
      <c r="U75" s="29">
        <v>1.6966788184975283</v>
      </c>
    </row>
    <row r="76" spans="1:61">
      <c r="A76" s="330"/>
      <c r="B76" s="330"/>
      <c r="C76" s="330"/>
      <c r="D76" s="330"/>
      <c r="E76" s="330"/>
      <c r="F76" s="330"/>
      <c r="G76" s="330"/>
      <c r="H76" s="330"/>
      <c r="I76" s="330"/>
      <c r="J76" s="330"/>
      <c r="K76" s="330"/>
      <c r="L76" s="330"/>
      <c r="M76" s="330"/>
      <c r="N76" s="330"/>
      <c r="O76" s="330"/>
      <c r="P76" s="330"/>
      <c r="Q76" s="330"/>
      <c r="R76" s="330"/>
      <c r="S76" s="35" t="s">
        <v>109</v>
      </c>
      <c r="T76" s="195"/>
      <c r="U76" s="195"/>
    </row>
    <row r="77" spans="1:61" ht="15" customHeight="1">
      <c r="S77" s="772" t="s">
        <v>666</v>
      </c>
      <c r="T77" s="772"/>
      <c r="U77" s="772"/>
      <c r="V77" s="772"/>
      <c r="W77" s="772"/>
      <c r="X77" s="772"/>
      <c r="Y77" s="772"/>
      <c r="Z77" s="772"/>
      <c r="AA77" s="691"/>
      <c r="AB77" s="691"/>
    </row>
    <row r="78" spans="1:61" s="613" customFormat="1">
      <c r="S78" s="772"/>
      <c r="T78" s="772"/>
      <c r="U78" s="772"/>
      <c r="V78" s="772"/>
      <c r="W78" s="772"/>
      <c r="X78" s="772"/>
      <c r="Y78" s="772"/>
      <c r="Z78" s="772"/>
      <c r="AA78" s="691"/>
      <c r="AB78" s="691"/>
    </row>
    <row r="79" spans="1:61"/>
    <row r="80" spans="1:61" ht="18" hidden="1" outlineLevel="1">
      <c r="A80" s="1" t="s">
        <v>667</v>
      </c>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row>
    <row r="81" spans="1:61" hidden="1" outlineLevel="1">
      <c r="A81" s="330"/>
      <c r="B81" s="330"/>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row>
    <row r="82" spans="1:61" ht="18" hidden="1" outlineLevel="1">
      <c r="A82" s="330" t="s">
        <v>49</v>
      </c>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0"/>
      <c r="AY82" s="330"/>
      <c r="AZ82" s="330"/>
      <c r="BA82" s="330"/>
      <c r="BB82" s="330"/>
      <c r="BC82" s="330"/>
      <c r="BD82" s="330"/>
      <c r="BE82" s="330"/>
      <c r="BF82" s="330"/>
      <c r="BG82" s="330"/>
      <c r="BH82" s="330"/>
      <c r="BI82" s="330"/>
    </row>
    <row r="83" spans="1:61" hidden="1" outlineLevel="1">
      <c r="A83" s="9"/>
      <c r="B83" s="9"/>
      <c r="C83" s="9"/>
      <c r="D83" s="9"/>
      <c r="E83" s="9"/>
      <c r="F83" s="9"/>
      <c r="G83" s="9"/>
      <c r="H83" s="9"/>
      <c r="I83" s="9"/>
      <c r="J83" s="9"/>
      <c r="K83" s="9"/>
      <c r="L83" s="9"/>
      <c r="M83" s="9"/>
      <c r="N83" s="9"/>
      <c r="O83" s="9"/>
      <c r="P83" s="6">
        <v>2020</v>
      </c>
      <c r="Q83" s="6">
        <v>2025</v>
      </c>
      <c r="R83" s="6">
        <v>2030</v>
      </c>
      <c r="S83" s="6">
        <v>2035</v>
      </c>
      <c r="T83" s="6">
        <v>2040</v>
      </c>
      <c r="U83" s="6">
        <v>2045</v>
      </c>
      <c r="V83" s="6">
        <v>2050</v>
      </c>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row>
    <row r="84" spans="1:61" ht="18" hidden="1" outlineLevel="1">
      <c r="A84" s="8" t="s">
        <v>78</v>
      </c>
      <c r="B84" s="90"/>
      <c r="C84" s="90"/>
      <c r="D84" s="90"/>
      <c r="E84" s="90"/>
      <c r="F84" s="90"/>
      <c r="G84" s="90"/>
      <c r="H84" s="90"/>
      <c r="I84" s="90"/>
      <c r="J84" s="90"/>
      <c r="K84" s="90"/>
      <c r="L84" s="90"/>
      <c r="M84" s="90"/>
      <c r="N84" s="90"/>
      <c r="O84" s="90"/>
      <c r="P84" s="7">
        <v>80</v>
      </c>
      <c r="Q84" s="7">
        <v>165</v>
      </c>
      <c r="R84" s="7">
        <v>250</v>
      </c>
      <c r="S84" s="7">
        <v>390</v>
      </c>
      <c r="T84" s="7">
        <v>525</v>
      </c>
      <c r="U84" s="7">
        <v>660</v>
      </c>
      <c r="V84" s="7">
        <v>800</v>
      </c>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row>
    <row r="85" spans="1:61" ht="18" hidden="1" outlineLevel="1">
      <c r="A85" s="35" t="s">
        <v>668</v>
      </c>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row>
    <row r="86" spans="1:61" hidden="1" outlineLevel="1">
      <c r="A86" s="330"/>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row>
    <row r="87" spans="1:61" hidden="1" outlineLevel="1">
      <c r="A87" s="9" t="s">
        <v>2</v>
      </c>
      <c r="B87" s="6"/>
      <c r="C87" s="6"/>
      <c r="D87" s="6"/>
      <c r="E87" s="6"/>
      <c r="F87" s="6"/>
      <c r="G87" s="6"/>
      <c r="H87" s="6"/>
      <c r="I87" s="6"/>
      <c r="J87" s="6"/>
      <c r="K87" s="6"/>
      <c r="L87" s="6"/>
      <c r="M87" s="6"/>
      <c r="N87" s="6"/>
      <c r="O87" s="6"/>
      <c r="P87" s="6"/>
      <c r="Q87" s="6">
        <v>2016</v>
      </c>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row>
    <row r="88" spans="1:61" hidden="1" outlineLevel="1">
      <c r="A88" s="8" t="s">
        <v>3</v>
      </c>
      <c r="B88" s="12"/>
      <c r="C88" s="12"/>
      <c r="D88" s="12"/>
      <c r="E88" s="12"/>
      <c r="F88" s="12"/>
      <c r="G88" s="12"/>
      <c r="H88" s="12"/>
      <c r="I88" s="12"/>
      <c r="J88" s="12"/>
      <c r="K88" s="12"/>
      <c r="L88" s="12"/>
      <c r="M88" s="12"/>
      <c r="N88" s="12"/>
      <c r="O88" s="12"/>
      <c r="P88" s="12"/>
      <c r="Q88" s="11">
        <f>Indeksacja!$Q$41</f>
        <v>4.3632</v>
      </c>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row>
    <row r="89" spans="1:61" hidden="1" outlineLevel="1">
      <c r="A89" s="35" t="str">
        <f>Indeksacja!$A$42</f>
        <v>Źródło: ECB, http://sdw.ecb.europa.eu/quickview.do?SERIES_KEY=120.EXR.A.PLN.EUR.SP00.A</v>
      </c>
      <c r="B89" s="330"/>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30"/>
      <c r="BA89" s="330"/>
      <c r="BB89" s="330"/>
      <c r="BC89" s="330"/>
      <c r="BD89" s="330"/>
      <c r="BE89" s="330"/>
      <c r="BF89" s="330"/>
      <c r="BG89" s="330"/>
      <c r="BH89" s="330"/>
      <c r="BI89" s="330"/>
    </row>
    <row r="90" spans="1:61" hidden="1" outlineLevel="1">
      <c r="A90" s="330"/>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row>
    <row r="91" spans="1:61" hidden="1" outlineLevel="1">
      <c r="A91" s="9" t="s">
        <v>312</v>
      </c>
      <c r="B91" s="6"/>
      <c r="C91" s="6"/>
      <c r="D91" s="6"/>
      <c r="E91" s="6"/>
      <c r="F91" s="6"/>
      <c r="G91" s="6"/>
      <c r="H91" s="6"/>
      <c r="I91" s="6"/>
      <c r="J91" s="6"/>
      <c r="K91" s="6"/>
      <c r="L91" s="6"/>
      <c r="M91" s="6"/>
      <c r="N91" s="6"/>
      <c r="O91" s="6"/>
      <c r="P91" s="6"/>
      <c r="Q91" s="6">
        <v>2016</v>
      </c>
      <c r="R91" s="6">
        <f>Q91+1</f>
        <v>2017</v>
      </c>
      <c r="S91" s="6">
        <f t="shared" ref="S91:BI91" si="6">R91+1</f>
        <v>2018</v>
      </c>
      <c r="T91" s="6">
        <f t="shared" si="6"/>
        <v>2019</v>
      </c>
      <c r="U91" s="6">
        <f t="shared" si="6"/>
        <v>2020</v>
      </c>
      <c r="V91" s="6">
        <f t="shared" si="6"/>
        <v>2021</v>
      </c>
      <c r="W91" s="6">
        <f t="shared" si="6"/>
        <v>2022</v>
      </c>
      <c r="X91" s="6">
        <f t="shared" si="6"/>
        <v>2023</v>
      </c>
      <c r="Y91" s="6">
        <f t="shared" si="6"/>
        <v>2024</v>
      </c>
      <c r="Z91" s="6">
        <f t="shared" si="6"/>
        <v>2025</v>
      </c>
      <c r="AA91" s="6">
        <f t="shared" si="6"/>
        <v>2026</v>
      </c>
      <c r="AB91" s="6">
        <f t="shared" si="6"/>
        <v>2027</v>
      </c>
      <c r="AC91" s="6">
        <f t="shared" si="6"/>
        <v>2028</v>
      </c>
      <c r="AD91" s="6">
        <f t="shared" si="6"/>
        <v>2029</v>
      </c>
      <c r="AE91" s="6">
        <f t="shared" si="6"/>
        <v>2030</v>
      </c>
      <c r="AF91" s="6">
        <f t="shared" si="6"/>
        <v>2031</v>
      </c>
      <c r="AG91" s="6">
        <f t="shared" si="6"/>
        <v>2032</v>
      </c>
      <c r="AH91" s="6">
        <f t="shared" si="6"/>
        <v>2033</v>
      </c>
      <c r="AI91" s="6">
        <f t="shared" si="6"/>
        <v>2034</v>
      </c>
      <c r="AJ91" s="6">
        <f t="shared" si="6"/>
        <v>2035</v>
      </c>
      <c r="AK91" s="6">
        <f t="shared" si="6"/>
        <v>2036</v>
      </c>
      <c r="AL91" s="6">
        <f t="shared" si="6"/>
        <v>2037</v>
      </c>
      <c r="AM91" s="6">
        <f t="shared" si="6"/>
        <v>2038</v>
      </c>
      <c r="AN91" s="6">
        <f t="shared" si="6"/>
        <v>2039</v>
      </c>
      <c r="AO91" s="6">
        <f t="shared" si="6"/>
        <v>2040</v>
      </c>
      <c r="AP91" s="6">
        <f t="shared" si="6"/>
        <v>2041</v>
      </c>
      <c r="AQ91" s="6">
        <f t="shared" si="6"/>
        <v>2042</v>
      </c>
      <c r="AR91" s="6">
        <f t="shared" si="6"/>
        <v>2043</v>
      </c>
      <c r="AS91" s="6">
        <f t="shared" si="6"/>
        <v>2044</v>
      </c>
      <c r="AT91" s="6">
        <f t="shared" si="6"/>
        <v>2045</v>
      </c>
      <c r="AU91" s="6">
        <f t="shared" si="6"/>
        <v>2046</v>
      </c>
      <c r="AV91" s="6">
        <f t="shared" si="6"/>
        <v>2047</v>
      </c>
      <c r="AW91" s="6">
        <f t="shared" si="6"/>
        <v>2048</v>
      </c>
      <c r="AX91" s="6">
        <f t="shared" si="6"/>
        <v>2049</v>
      </c>
      <c r="AY91" s="6">
        <f t="shared" si="6"/>
        <v>2050</v>
      </c>
      <c r="AZ91" s="6">
        <f t="shared" si="6"/>
        <v>2051</v>
      </c>
      <c r="BA91" s="6">
        <f t="shared" si="6"/>
        <v>2052</v>
      </c>
      <c r="BB91" s="6">
        <f t="shared" si="6"/>
        <v>2053</v>
      </c>
      <c r="BC91" s="6">
        <f t="shared" si="6"/>
        <v>2054</v>
      </c>
      <c r="BD91" s="6">
        <f t="shared" si="6"/>
        <v>2055</v>
      </c>
      <c r="BE91" s="6">
        <f t="shared" si="6"/>
        <v>2056</v>
      </c>
      <c r="BF91" s="6">
        <f t="shared" si="6"/>
        <v>2057</v>
      </c>
      <c r="BG91" s="6">
        <f t="shared" si="6"/>
        <v>2058</v>
      </c>
      <c r="BH91" s="6">
        <f t="shared" si="6"/>
        <v>2059</v>
      </c>
      <c r="BI91" s="6">
        <f t="shared" si="6"/>
        <v>2060</v>
      </c>
    </row>
    <row r="92" spans="1:61" ht="30" hidden="1" outlineLevel="1">
      <c r="A92" s="8" t="s">
        <v>5</v>
      </c>
      <c r="B92" s="13"/>
      <c r="C92" s="13"/>
      <c r="D92" s="13"/>
      <c r="E92" s="13"/>
      <c r="F92" s="13"/>
      <c r="G92" s="13"/>
      <c r="H92" s="13"/>
      <c r="I92" s="13"/>
      <c r="J92" s="13"/>
      <c r="K92" s="13"/>
      <c r="L92" s="13"/>
      <c r="M92" s="13"/>
      <c r="N92" s="13"/>
      <c r="O92" s="13"/>
      <c r="P92" s="13"/>
      <c r="Q92" s="13"/>
      <c r="R92" s="10">
        <f>Indeksacja!R$6/100</f>
        <v>1.02</v>
      </c>
      <c r="S92" s="10">
        <f>Indeksacja!S$6/100</f>
        <v>1.016</v>
      </c>
      <c r="T92" s="10">
        <f>Indeksacja!T$6/100</f>
        <v>1.0229999999999999</v>
      </c>
      <c r="U92" s="10">
        <f>Indeksacja!U$6/100</f>
        <v>1.034</v>
      </c>
      <c r="V92" s="10">
        <f>Indeksacja!V$6/100</f>
        <v>1.0509999999999999</v>
      </c>
      <c r="W92" s="19">
        <v>1</v>
      </c>
      <c r="X92" s="19">
        <v>1</v>
      </c>
      <c r="Y92" s="19">
        <v>1</v>
      </c>
      <c r="Z92" s="19">
        <v>1</v>
      </c>
      <c r="AA92" s="19">
        <v>1</v>
      </c>
      <c r="AB92" s="19">
        <v>1</v>
      </c>
      <c r="AC92" s="19">
        <v>1</v>
      </c>
      <c r="AD92" s="19">
        <v>1</v>
      </c>
      <c r="AE92" s="19">
        <v>1</v>
      </c>
      <c r="AF92" s="19">
        <v>1</v>
      </c>
      <c r="AG92" s="19">
        <v>1</v>
      </c>
      <c r="AH92" s="19">
        <v>1</v>
      </c>
      <c r="AI92" s="19">
        <v>1</v>
      </c>
      <c r="AJ92" s="19">
        <v>1</v>
      </c>
      <c r="AK92" s="19">
        <v>1</v>
      </c>
      <c r="AL92" s="19">
        <v>1</v>
      </c>
      <c r="AM92" s="19">
        <v>1</v>
      </c>
      <c r="AN92" s="19">
        <v>1</v>
      </c>
      <c r="AO92" s="19">
        <v>1</v>
      </c>
      <c r="AP92" s="19">
        <v>1</v>
      </c>
      <c r="AQ92" s="19">
        <v>1</v>
      </c>
      <c r="AR92" s="19">
        <v>1</v>
      </c>
      <c r="AS92" s="19">
        <v>1</v>
      </c>
      <c r="AT92" s="19">
        <v>1</v>
      </c>
      <c r="AU92" s="19">
        <v>1</v>
      </c>
      <c r="AV92" s="19">
        <v>1</v>
      </c>
      <c r="AW92" s="19">
        <v>1</v>
      </c>
      <c r="AX92" s="19">
        <v>1</v>
      </c>
      <c r="AY92" s="19">
        <v>1</v>
      </c>
      <c r="AZ92" s="19">
        <v>1</v>
      </c>
      <c r="BA92" s="19">
        <v>1</v>
      </c>
      <c r="BB92" s="19">
        <v>1</v>
      </c>
      <c r="BC92" s="19">
        <v>1</v>
      </c>
      <c r="BD92" s="19">
        <v>1</v>
      </c>
      <c r="BE92" s="19">
        <v>1</v>
      </c>
      <c r="BF92" s="19">
        <v>1</v>
      </c>
      <c r="BG92" s="19">
        <v>1</v>
      </c>
      <c r="BH92" s="19">
        <v>1</v>
      </c>
      <c r="BI92" s="19">
        <v>1</v>
      </c>
    </row>
    <row r="93" spans="1:61" ht="45" hidden="1" outlineLevel="1">
      <c r="A93" s="8" t="s">
        <v>539</v>
      </c>
      <c r="B93" s="13"/>
      <c r="C93" s="13"/>
      <c r="D93" s="13"/>
      <c r="E93" s="13"/>
      <c r="F93" s="13"/>
      <c r="G93" s="13"/>
      <c r="H93" s="13"/>
      <c r="I93" s="13"/>
      <c r="J93" s="13"/>
      <c r="K93" s="13"/>
      <c r="L93" s="13"/>
      <c r="M93" s="13"/>
      <c r="N93" s="13"/>
      <c r="O93" s="13"/>
      <c r="P93" s="13"/>
      <c r="Q93" s="248">
        <v>1</v>
      </c>
      <c r="R93" s="10">
        <f>Q93*R92</f>
        <v>1.02</v>
      </c>
      <c r="S93" s="10">
        <f t="shared" ref="S93:BI93" si="7">R93*S92</f>
        <v>1.0363200000000001</v>
      </c>
      <c r="T93" s="10">
        <f t="shared" si="7"/>
        <v>1.06015536</v>
      </c>
      <c r="U93" s="10">
        <f t="shared" si="7"/>
        <v>1.0962006422399999</v>
      </c>
      <c r="V93" s="10">
        <f t="shared" si="7"/>
        <v>1.1521068749942398</v>
      </c>
      <c r="W93" s="10">
        <f t="shared" si="7"/>
        <v>1.1521068749942398</v>
      </c>
      <c r="X93" s="10">
        <f t="shared" si="7"/>
        <v>1.1521068749942398</v>
      </c>
      <c r="Y93" s="10">
        <f t="shared" si="7"/>
        <v>1.1521068749942398</v>
      </c>
      <c r="Z93" s="10">
        <f t="shared" si="7"/>
        <v>1.1521068749942398</v>
      </c>
      <c r="AA93" s="10">
        <f t="shared" si="7"/>
        <v>1.1521068749942398</v>
      </c>
      <c r="AB93" s="10">
        <f t="shared" si="7"/>
        <v>1.1521068749942398</v>
      </c>
      <c r="AC93" s="10">
        <f t="shared" si="7"/>
        <v>1.1521068749942398</v>
      </c>
      <c r="AD93" s="10">
        <f t="shared" si="7"/>
        <v>1.1521068749942398</v>
      </c>
      <c r="AE93" s="10">
        <f t="shared" si="7"/>
        <v>1.1521068749942398</v>
      </c>
      <c r="AF93" s="10">
        <f t="shared" si="7"/>
        <v>1.1521068749942398</v>
      </c>
      <c r="AG93" s="10">
        <f t="shared" si="7"/>
        <v>1.1521068749942398</v>
      </c>
      <c r="AH93" s="10">
        <f t="shared" si="7"/>
        <v>1.1521068749942398</v>
      </c>
      <c r="AI93" s="10">
        <f t="shared" si="7"/>
        <v>1.1521068749942398</v>
      </c>
      <c r="AJ93" s="10">
        <f t="shared" si="7"/>
        <v>1.1521068749942398</v>
      </c>
      <c r="AK93" s="10">
        <f t="shared" si="7"/>
        <v>1.1521068749942398</v>
      </c>
      <c r="AL93" s="10">
        <f t="shared" si="7"/>
        <v>1.1521068749942398</v>
      </c>
      <c r="AM93" s="10">
        <f t="shared" si="7"/>
        <v>1.1521068749942398</v>
      </c>
      <c r="AN93" s="10">
        <f t="shared" si="7"/>
        <v>1.1521068749942398</v>
      </c>
      <c r="AO93" s="10">
        <f t="shared" si="7"/>
        <v>1.1521068749942398</v>
      </c>
      <c r="AP93" s="10">
        <f t="shared" si="7"/>
        <v>1.1521068749942398</v>
      </c>
      <c r="AQ93" s="10">
        <f t="shared" si="7"/>
        <v>1.1521068749942398</v>
      </c>
      <c r="AR93" s="10">
        <f t="shared" si="7"/>
        <v>1.1521068749942398</v>
      </c>
      <c r="AS93" s="10">
        <f t="shared" si="7"/>
        <v>1.1521068749942398</v>
      </c>
      <c r="AT93" s="10">
        <f t="shared" si="7"/>
        <v>1.1521068749942398</v>
      </c>
      <c r="AU93" s="10">
        <f t="shared" si="7"/>
        <v>1.1521068749942398</v>
      </c>
      <c r="AV93" s="10">
        <f t="shared" si="7"/>
        <v>1.1521068749942398</v>
      </c>
      <c r="AW93" s="10">
        <f t="shared" si="7"/>
        <v>1.1521068749942398</v>
      </c>
      <c r="AX93" s="10">
        <f t="shared" si="7"/>
        <v>1.1521068749942398</v>
      </c>
      <c r="AY93" s="10">
        <f t="shared" si="7"/>
        <v>1.1521068749942398</v>
      </c>
      <c r="AZ93" s="10">
        <f t="shared" si="7"/>
        <v>1.1521068749942398</v>
      </c>
      <c r="BA93" s="10">
        <f t="shared" si="7"/>
        <v>1.1521068749942398</v>
      </c>
      <c r="BB93" s="10">
        <f t="shared" si="7"/>
        <v>1.1521068749942398</v>
      </c>
      <c r="BC93" s="10">
        <f t="shared" si="7"/>
        <v>1.1521068749942398</v>
      </c>
      <c r="BD93" s="10">
        <f t="shared" si="7"/>
        <v>1.1521068749942398</v>
      </c>
      <c r="BE93" s="10">
        <f t="shared" si="7"/>
        <v>1.1521068749942398</v>
      </c>
      <c r="BF93" s="10">
        <f t="shared" si="7"/>
        <v>1.1521068749942398</v>
      </c>
      <c r="BG93" s="10">
        <f t="shared" si="7"/>
        <v>1.1521068749942398</v>
      </c>
      <c r="BH93" s="10">
        <f t="shared" si="7"/>
        <v>1.1521068749942398</v>
      </c>
      <c r="BI93" s="10">
        <f t="shared" si="7"/>
        <v>1.1521068749942398</v>
      </c>
    </row>
    <row r="94" spans="1:61" hidden="1" outlineLevel="1">
      <c r="A94" s="35" t="str">
        <f>Indeksacja!A$7</f>
        <v>Źródło: GUS, https://stat.gov.pl/wskazniki-makroekonomiczne/ - Roczne wskaźniki makroekonomiczne, arkusz "WSKAŹNIKI CEN" (aktualizacja 20.04.2022)</v>
      </c>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row>
    <row r="95" spans="1:61" hidden="1" outlineLevel="1">
      <c r="A95" s="330"/>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row>
    <row r="96" spans="1:61" ht="18" hidden="1" outlineLevel="1">
      <c r="A96" s="1" t="s">
        <v>669</v>
      </c>
      <c r="B96" s="330"/>
      <c r="C96" s="330"/>
      <c r="D96" s="330"/>
      <c r="E96" s="330"/>
      <c r="F96" s="330"/>
      <c r="G96" s="330"/>
      <c r="H96" s="330"/>
      <c r="I96" s="330"/>
      <c r="J96" s="330"/>
      <c r="K96" s="330"/>
      <c r="L96" s="330"/>
      <c r="M96" s="330"/>
      <c r="N96" s="330"/>
      <c r="O96" s="330"/>
      <c r="P96" s="14"/>
      <c r="Q96" s="14"/>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0"/>
      <c r="BC96" s="330"/>
      <c r="BD96" s="330"/>
      <c r="BE96" s="330"/>
      <c r="BF96" s="330"/>
      <c r="BG96" s="330"/>
      <c r="BH96" s="330"/>
      <c r="BI96" s="330"/>
    </row>
    <row r="97" spans="1:61" s="534" customFormat="1" hidden="1" outlineLevel="1">
      <c r="A97" s="718" t="s">
        <v>1</v>
      </c>
      <c r="B97" s="685" t="s">
        <v>328</v>
      </c>
      <c r="C97" s="671"/>
      <c r="D97" s="671"/>
      <c r="E97" s="671"/>
      <c r="F97" s="671"/>
      <c r="G97" s="671"/>
      <c r="H97" s="671"/>
      <c r="I97" s="671"/>
      <c r="J97" s="671"/>
      <c r="K97" s="671"/>
      <c r="L97" s="671"/>
      <c r="M97" s="671"/>
      <c r="N97" s="671"/>
      <c r="O97" s="671"/>
      <c r="P97" s="674"/>
      <c r="Q97" s="6">
        <v>2017</v>
      </c>
      <c r="R97" s="6">
        <f t="shared" ref="R97:T97" si="8">Q97+1</f>
        <v>2018</v>
      </c>
      <c r="S97" s="6">
        <f t="shared" si="8"/>
        <v>2019</v>
      </c>
      <c r="T97" s="6">
        <f t="shared" si="8"/>
        <v>2020</v>
      </c>
      <c r="U97" s="6">
        <f>T97+1</f>
        <v>2021</v>
      </c>
      <c r="V97" s="6">
        <f t="shared" ref="V97:BI97" si="9">U97+1</f>
        <v>2022</v>
      </c>
      <c r="W97" s="6">
        <f t="shared" si="9"/>
        <v>2023</v>
      </c>
      <c r="X97" s="6">
        <f t="shared" si="9"/>
        <v>2024</v>
      </c>
      <c r="Y97" s="6">
        <f t="shared" si="9"/>
        <v>2025</v>
      </c>
      <c r="Z97" s="6">
        <f t="shared" si="9"/>
        <v>2026</v>
      </c>
      <c r="AA97" s="6">
        <f t="shared" si="9"/>
        <v>2027</v>
      </c>
      <c r="AB97" s="6">
        <f t="shared" si="9"/>
        <v>2028</v>
      </c>
      <c r="AC97" s="6">
        <f t="shared" si="9"/>
        <v>2029</v>
      </c>
      <c r="AD97" s="6">
        <f t="shared" si="9"/>
        <v>2030</v>
      </c>
      <c r="AE97" s="6">
        <f t="shared" si="9"/>
        <v>2031</v>
      </c>
      <c r="AF97" s="6">
        <f t="shared" si="9"/>
        <v>2032</v>
      </c>
      <c r="AG97" s="6">
        <f t="shared" si="9"/>
        <v>2033</v>
      </c>
      <c r="AH97" s="6">
        <f t="shared" si="9"/>
        <v>2034</v>
      </c>
      <c r="AI97" s="6">
        <f t="shared" si="9"/>
        <v>2035</v>
      </c>
      <c r="AJ97" s="6">
        <f t="shared" si="9"/>
        <v>2036</v>
      </c>
      <c r="AK97" s="6">
        <f t="shared" si="9"/>
        <v>2037</v>
      </c>
      <c r="AL97" s="6">
        <f t="shared" si="9"/>
        <v>2038</v>
      </c>
      <c r="AM97" s="6">
        <f t="shared" si="9"/>
        <v>2039</v>
      </c>
      <c r="AN97" s="6">
        <f t="shared" si="9"/>
        <v>2040</v>
      </c>
      <c r="AO97" s="6">
        <f t="shared" si="9"/>
        <v>2041</v>
      </c>
      <c r="AP97" s="6">
        <f t="shared" si="9"/>
        <v>2042</v>
      </c>
      <c r="AQ97" s="6">
        <f t="shared" si="9"/>
        <v>2043</v>
      </c>
      <c r="AR97" s="6">
        <f t="shared" si="9"/>
        <v>2044</v>
      </c>
      <c r="AS97" s="6">
        <f t="shared" si="9"/>
        <v>2045</v>
      </c>
      <c r="AT97" s="6">
        <f t="shared" si="9"/>
        <v>2046</v>
      </c>
      <c r="AU97" s="6">
        <f t="shared" si="9"/>
        <v>2047</v>
      </c>
      <c r="AV97" s="6">
        <f t="shared" si="9"/>
        <v>2048</v>
      </c>
      <c r="AW97" s="6">
        <f t="shared" si="9"/>
        <v>2049</v>
      </c>
      <c r="AX97" s="6">
        <f t="shared" si="9"/>
        <v>2050</v>
      </c>
      <c r="AY97" s="6">
        <f t="shared" si="9"/>
        <v>2051</v>
      </c>
      <c r="AZ97" s="6">
        <f t="shared" si="9"/>
        <v>2052</v>
      </c>
      <c r="BA97" s="6">
        <f t="shared" si="9"/>
        <v>2053</v>
      </c>
      <c r="BB97" s="6">
        <f t="shared" si="9"/>
        <v>2054</v>
      </c>
      <c r="BC97" s="6">
        <f t="shared" si="9"/>
        <v>2055</v>
      </c>
      <c r="BD97" s="6">
        <f t="shared" si="9"/>
        <v>2056</v>
      </c>
      <c r="BE97" s="6">
        <f t="shared" si="9"/>
        <v>2057</v>
      </c>
      <c r="BF97" s="6">
        <f t="shared" si="9"/>
        <v>2058</v>
      </c>
      <c r="BG97" s="6">
        <f t="shared" si="9"/>
        <v>2059</v>
      </c>
      <c r="BH97" s="6">
        <f t="shared" si="9"/>
        <v>2060</v>
      </c>
      <c r="BI97" s="6">
        <f t="shared" si="9"/>
        <v>2061</v>
      </c>
    </row>
    <row r="98" spans="1:61" hidden="1" outlineLevel="1">
      <c r="A98" s="719"/>
      <c r="B98" s="686" t="s">
        <v>530</v>
      </c>
      <c r="C98" s="681"/>
      <c r="D98" s="681"/>
      <c r="E98" s="681"/>
      <c r="F98" s="681"/>
      <c r="G98" s="681"/>
      <c r="H98" s="681"/>
      <c r="I98" s="681"/>
      <c r="J98" s="681"/>
      <c r="K98" s="681"/>
      <c r="L98" s="681"/>
      <c r="M98" s="681"/>
      <c r="N98" s="681"/>
      <c r="O98" s="681"/>
      <c r="P98" s="687"/>
      <c r="Q98" s="683">
        <f>DATE(2016,12,31)</f>
        <v>42735</v>
      </c>
      <c r="R98" s="683">
        <f>DATE(YEAR(Q98+1),12,31)</f>
        <v>43100</v>
      </c>
      <c r="S98" s="683">
        <f t="shared" ref="S98" si="10">DATE(YEAR(R98+1),12,31)</f>
        <v>43465</v>
      </c>
      <c r="T98" s="683">
        <f>DATE(YEAR(S98+1),12,31)</f>
        <v>43830</v>
      </c>
      <c r="U98" s="683">
        <f t="shared" ref="U98:BI98" si="11">DATE(YEAR(T98+1),12,31)</f>
        <v>44196</v>
      </c>
      <c r="V98" s="683">
        <f t="shared" si="11"/>
        <v>44561</v>
      </c>
      <c r="W98" s="683">
        <f t="shared" si="11"/>
        <v>44926</v>
      </c>
      <c r="X98" s="683">
        <f t="shared" si="11"/>
        <v>45291</v>
      </c>
      <c r="Y98" s="683">
        <f t="shared" si="11"/>
        <v>45657</v>
      </c>
      <c r="Z98" s="683">
        <f t="shared" si="11"/>
        <v>46022</v>
      </c>
      <c r="AA98" s="683">
        <f t="shared" si="11"/>
        <v>46387</v>
      </c>
      <c r="AB98" s="683">
        <f t="shared" si="11"/>
        <v>46752</v>
      </c>
      <c r="AC98" s="683">
        <f t="shared" si="11"/>
        <v>47118</v>
      </c>
      <c r="AD98" s="683">
        <f t="shared" si="11"/>
        <v>47483</v>
      </c>
      <c r="AE98" s="683">
        <f t="shared" si="11"/>
        <v>47848</v>
      </c>
      <c r="AF98" s="683">
        <f t="shared" si="11"/>
        <v>48213</v>
      </c>
      <c r="AG98" s="683">
        <f t="shared" si="11"/>
        <v>48579</v>
      </c>
      <c r="AH98" s="683">
        <f t="shared" si="11"/>
        <v>48944</v>
      </c>
      <c r="AI98" s="683">
        <f t="shared" si="11"/>
        <v>49309</v>
      </c>
      <c r="AJ98" s="683">
        <f t="shared" si="11"/>
        <v>49674</v>
      </c>
      <c r="AK98" s="683">
        <f t="shared" si="11"/>
        <v>50040</v>
      </c>
      <c r="AL98" s="683">
        <f t="shared" si="11"/>
        <v>50405</v>
      </c>
      <c r="AM98" s="683">
        <f t="shared" si="11"/>
        <v>50770</v>
      </c>
      <c r="AN98" s="683">
        <f t="shared" si="11"/>
        <v>51135</v>
      </c>
      <c r="AO98" s="683">
        <f t="shared" si="11"/>
        <v>51501</v>
      </c>
      <c r="AP98" s="683">
        <f t="shared" si="11"/>
        <v>51866</v>
      </c>
      <c r="AQ98" s="683">
        <f t="shared" si="11"/>
        <v>52231</v>
      </c>
      <c r="AR98" s="683">
        <f t="shared" si="11"/>
        <v>52596</v>
      </c>
      <c r="AS98" s="683">
        <f t="shared" si="11"/>
        <v>52962</v>
      </c>
      <c r="AT98" s="683">
        <f t="shared" si="11"/>
        <v>53327</v>
      </c>
      <c r="AU98" s="683">
        <f t="shared" si="11"/>
        <v>53692</v>
      </c>
      <c r="AV98" s="683">
        <f t="shared" si="11"/>
        <v>54057</v>
      </c>
      <c r="AW98" s="683">
        <f t="shared" si="11"/>
        <v>54423</v>
      </c>
      <c r="AX98" s="683">
        <f t="shared" si="11"/>
        <v>54788</v>
      </c>
      <c r="AY98" s="683">
        <f t="shared" si="11"/>
        <v>55153</v>
      </c>
      <c r="AZ98" s="683">
        <f t="shared" si="11"/>
        <v>55518</v>
      </c>
      <c r="BA98" s="683">
        <f t="shared" si="11"/>
        <v>55884</v>
      </c>
      <c r="BB98" s="683">
        <f t="shared" si="11"/>
        <v>56249</v>
      </c>
      <c r="BC98" s="683">
        <f t="shared" si="11"/>
        <v>56614</v>
      </c>
      <c r="BD98" s="683">
        <f t="shared" si="11"/>
        <v>56979</v>
      </c>
      <c r="BE98" s="683">
        <f t="shared" si="11"/>
        <v>57345</v>
      </c>
      <c r="BF98" s="683">
        <f t="shared" si="11"/>
        <v>57710</v>
      </c>
      <c r="BG98" s="683">
        <f t="shared" si="11"/>
        <v>58075</v>
      </c>
      <c r="BH98" s="683">
        <f t="shared" si="11"/>
        <v>58440</v>
      </c>
      <c r="BI98" s="683">
        <f t="shared" si="11"/>
        <v>58806</v>
      </c>
    </row>
    <row r="99" spans="1:61" ht="33" hidden="1" outlineLevel="1">
      <c r="A99" s="8" t="s">
        <v>707</v>
      </c>
      <c r="B99" s="3"/>
      <c r="C99" s="3"/>
      <c r="D99" s="3"/>
      <c r="E99" s="3"/>
      <c r="F99" s="3"/>
      <c r="G99" s="3"/>
      <c r="H99" s="3"/>
      <c r="I99" s="3"/>
      <c r="J99" s="3"/>
      <c r="K99" s="3"/>
      <c r="L99" s="3"/>
      <c r="M99" s="3"/>
      <c r="N99" s="3"/>
      <c r="O99" s="3"/>
      <c r="P99" s="3"/>
      <c r="Q99" s="92">
        <f>$P$84</f>
        <v>80</v>
      </c>
      <c r="R99" s="120">
        <f>Q99+($U99-$Q99)/($U$97-$Q$97)</f>
        <v>80</v>
      </c>
      <c r="S99" s="7">
        <f t="shared" ref="S99:T99" si="12">R99+($U99-$Q99)/($U$97-$Q$97)</f>
        <v>80</v>
      </c>
      <c r="T99" s="121">
        <f t="shared" si="12"/>
        <v>80</v>
      </c>
      <c r="U99" s="122">
        <f>$P$84</f>
        <v>80</v>
      </c>
      <c r="V99" s="120">
        <f>U99+($Z99-$U99)/($Z$97-$U$97)</f>
        <v>97</v>
      </c>
      <c r="W99" s="7">
        <f t="shared" ref="W99:Y99" si="13">V99+($Z99-$U99)/($Z$97-$U$97)</f>
        <v>114</v>
      </c>
      <c r="X99" s="7">
        <f t="shared" si="13"/>
        <v>131</v>
      </c>
      <c r="Y99" s="7">
        <f t="shared" si="13"/>
        <v>148</v>
      </c>
      <c r="Z99" s="122">
        <f>$Q$84</f>
        <v>165</v>
      </c>
      <c r="AA99" s="7">
        <f>Z99+($AE99-$Z99)/($AE$97-$Z$97)</f>
        <v>182</v>
      </c>
      <c r="AB99" s="7">
        <f t="shared" ref="AB99:AD99" si="14">AA99+($AE99-$Z99)/($AE$97-$Z$97)</f>
        <v>199</v>
      </c>
      <c r="AC99" s="7">
        <f t="shared" si="14"/>
        <v>216</v>
      </c>
      <c r="AD99" s="7">
        <f t="shared" si="14"/>
        <v>233</v>
      </c>
      <c r="AE99" s="122">
        <f>$R$84</f>
        <v>250</v>
      </c>
      <c r="AF99" s="7">
        <f>AE99+($AJ99-$AE99)/($AJ$97-$AE$97)</f>
        <v>278</v>
      </c>
      <c r="AG99" s="7">
        <f t="shared" ref="AG99:AI99" si="15">AF99+($AJ99-$AE99)/($AJ$97-$AE$97)</f>
        <v>306</v>
      </c>
      <c r="AH99" s="7">
        <f t="shared" si="15"/>
        <v>334</v>
      </c>
      <c r="AI99" s="7">
        <f t="shared" si="15"/>
        <v>362</v>
      </c>
      <c r="AJ99" s="122">
        <f>$S$84</f>
        <v>390</v>
      </c>
      <c r="AK99" s="7">
        <f>AJ99+($AO99-$AJ99)/($AO$97-$AJ$97)</f>
        <v>417</v>
      </c>
      <c r="AL99" s="7">
        <f t="shared" ref="AL99:AN99" si="16">AK99+($AO99-$AJ99)/($AO$97-$AJ$97)</f>
        <v>444</v>
      </c>
      <c r="AM99" s="7">
        <f t="shared" si="16"/>
        <v>471</v>
      </c>
      <c r="AN99" s="7">
        <f t="shared" si="16"/>
        <v>498</v>
      </c>
      <c r="AO99" s="122">
        <f>$T$84</f>
        <v>525</v>
      </c>
      <c r="AP99" s="7">
        <f>AO99+($AT99-$AO99)/($AT$97-$AO$97)</f>
        <v>552</v>
      </c>
      <c r="AQ99" s="7">
        <f t="shared" ref="AQ99:AS99" si="17">AP99+($AT99-$AO99)/($AT$97-$AO$97)</f>
        <v>579</v>
      </c>
      <c r="AR99" s="7">
        <f t="shared" si="17"/>
        <v>606</v>
      </c>
      <c r="AS99" s="7">
        <f t="shared" si="17"/>
        <v>633</v>
      </c>
      <c r="AT99" s="122">
        <f>$U$84</f>
        <v>660</v>
      </c>
      <c r="AU99" s="7">
        <f>AT99+($AY99-$AT99)/($AY$97-$AT$97)</f>
        <v>688</v>
      </c>
      <c r="AV99" s="7">
        <f t="shared" ref="AV99:AX99" si="18">AU99+($AY99-$AT99)/($AY$97-$AT$97)</f>
        <v>716</v>
      </c>
      <c r="AW99" s="7">
        <f t="shared" si="18"/>
        <v>744</v>
      </c>
      <c r="AX99" s="7">
        <f t="shared" si="18"/>
        <v>772</v>
      </c>
      <c r="AY99" s="122">
        <f>$V$84</f>
        <v>800</v>
      </c>
      <c r="AZ99" s="7">
        <f>AY99</f>
        <v>800</v>
      </c>
      <c r="BA99" s="7">
        <f t="shared" ref="BA99:BI99" si="19">AZ99</f>
        <v>800</v>
      </c>
      <c r="BB99" s="7">
        <f t="shared" si="19"/>
        <v>800</v>
      </c>
      <c r="BC99" s="7">
        <f t="shared" si="19"/>
        <v>800</v>
      </c>
      <c r="BD99" s="7">
        <f t="shared" si="19"/>
        <v>800</v>
      </c>
      <c r="BE99" s="7">
        <f t="shared" si="19"/>
        <v>800</v>
      </c>
      <c r="BF99" s="7">
        <f t="shared" si="19"/>
        <v>800</v>
      </c>
      <c r="BG99" s="7">
        <f t="shared" si="19"/>
        <v>800</v>
      </c>
      <c r="BH99" s="7">
        <f t="shared" si="19"/>
        <v>800</v>
      </c>
      <c r="BI99" s="7">
        <f t="shared" si="19"/>
        <v>800</v>
      </c>
    </row>
    <row r="100" spans="1:61" hidden="1" outlineLevel="1">
      <c r="A100" s="15" t="s">
        <v>708</v>
      </c>
      <c r="B100" s="16"/>
      <c r="C100" s="16"/>
      <c r="D100" s="16"/>
      <c r="E100" s="16"/>
      <c r="F100" s="16"/>
      <c r="G100" s="16"/>
      <c r="H100" s="16"/>
      <c r="I100" s="16"/>
      <c r="J100" s="16"/>
      <c r="K100" s="16"/>
      <c r="L100" s="16"/>
      <c r="M100" s="16"/>
      <c r="N100" s="16"/>
      <c r="O100" s="16"/>
      <c r="P100" s="16"/>
      <c r="Q100" s="18"/>
      <c r="R100" s="17">
        <f t="shared" ref="R100:BI100" si="20">R99-Q99</f>
        <v>0</v>
      </c>
      <c r="S100" s="17">
        <f t="shared" si="20"/>
        <v>0</v>
      </c>
      <c r="T100" s="17">
        <f t="shared" si="20"/>
        <v>0</v>
      </c>
      <c r="U100" s="17">
        <f t="shared" si="20"/>
        <v>0</v>
      </c>
      <c r="V100" s="17">
        <f t="shared" si="20"/>
        <v>17</v>
      </c>
      <c r="W100" s="17">
        <f t="shared" si="20"/>
        <v>17</v>
      </c>
      <c r="X100" s="17">
        <f t="shared" si="20"/>
        <v>17</v>
      </c>
      <c r="Y100" s="17">
        <f t="shared" si="20"/>
        <v>17</v>
      </c>
      <c r="Z100" s="17">
        <f t="shared" si="20"/>
        <v>17</v>
      </c>
      <c r="AA100" s="17">
        <f t="shared" si="20"/>
        <v>17</v>
      </c>
      <c r="AB100" s="17">
        <f t="shared" si="20"/>
        <v>17</v>
      </c>
      <c r="AC100" s="17">
        <f t="shared" si="20"/>
        <v>17</v>
      </c>
      <c r="AD100" s="17">
        <f t="shared" si="20"/>
        <v>17</v>
      </c>
      <c r="AE100" s="17">
        <f t="shared" si="20"/>
        <v>17</v>
      </c>
      <c r="AF100" s="17">
        <f t="shared" si="20"/>
        <v>28</v>
      </c>
      <c r="AG100" s="17">
        <f t="shared" si="20"/>
        <v>28</v>
      </c>
      <c r="AH100" s="17">
        <f t="shared" si="20"/>
        <v>28</v>
      </c>
      <c r="AI100" s="17">
        <f t="shared" si="20"/>
        <v>28</v>
      </c>
      <c r="AJ100" s="17">
        <f t="shared" si="20"/>
        <v>28</v>
      </c>
      <c r="AK100" s="17">
        <f t="shared" si="20"/>
        <v>27</v>
      </c>
      <c r="AL100" s="17">
        <f t="shared" si="20"/>
        <v>27</v>
      </c>
      <c r="AM100" s="17">
        <f t="shared" si="20"/>
        <v>27</v>
      </c>
      <c r="AN100" s="17">
        <f t="shared" si="20"/>
        <v>27</v>
      </c>
      <c r="AO100" s="17">
        <f t="shared" si="20"/>
        <v>27</v>
      </c>
      <c r="AP100" s="17">
        <f t="shared" si="20"/>
        <v>27</v>
      </c>
      <c r="AQ100" s="17">
        <f t="shared" si="20"/>
        <v>27</v>
      </c>
      <c r="AR100" s="17">
        <f t="shared" si="20"/>
        <v>27</v>
      </c>
      <c r="AS100" s="17">
        <f t="shared" si="20"/>
        <v>27</v>
      </c>
      <c r="AT100" s="17">
        <f t="shared" si="20"/>
        <v>27</v>
      </c>
      <c r="AU100" s="17">
        <f t="shared" si="20"/>
        <v>28</v>
      </c>
      <c r="AV100" s="17">
        <f t="shared" si="20"/>
        <v>28</v>
      </c>
      <c r="AW100" s="17">
        <f t="shared" si="20"/>
        <v>28</v>
      </c>
      <c r="AX100" s="17">
        <f t="shared" si="20"/>
        <v>28</v>
      </c>
      <c r="AY100" s="17">
        <f t="shared" si="20"/>
        <v>28</v>
      </c>
      <c r="AZ100" s="17">
        <f t="shared" si="20"/>
        <v>0</v>
      </c>
      <c r="BA100" s="17">
        <f t="shared" si="20"/>
        <v>0</v>
      </c>
      <c r="BB100" s="17">
        <f t="shared" si="20"/>
        <v>0</v>
      </c>
      <c r="BC100" s="17">
        <f t="shared" si="20"/>
        <v>0</v>
      </c>
      <c r="BD100" s="17">
        <f t="shared" si="20"/>
        <v>0</v>
      </c>
      <c r="BE100" s="17">
        <f t="shared" si="20"/>
        <v>0</v>
      </c>
      <c r="BF100" s="17">
        <f t="shared" si="20"/>
        <v>0</v>
      </c>
      <c r="BG100" s="17">
        <f t="shared" si="20"/>
        <v>0</v>
      </c>
      <c r="BH100" s="17">
        <f t="shared" si="20"/>
        <v>0</v>
      </c>
      <c r="BI100" s="17">
        <f t="shared" si="20"/>
        <v>0</v>
      </c>
    </row>
    <row r="101" spans="1:61" ht="48" hidden="1" outlineLevel="1">
      <c r="A101" s="8" t="s">
        <v>41</v>
      </c>
      <c r="B101" s="3"/>
      <c r="C101" s="3"/>
      <c r="D101" s="3"/>
      <c r="E101" s="3"/>
      <c r="F101" s="3"/>
      <c r="G101" s="3"/>
      <c r="H101" s="3"/>
      <c r="I101" s="3"/>
      <c r="J101" s="3"/>
      <c r="K101" s="3"/>
      <c r="L101" s="3"/>
      <c r="M101" s="3"/>
      <c r="N101" s="3"/>
      <c r="O101" s="3"/>
      <c r="P101" s="3"/>
      <c r="Q101" s="7">
        <f>Q$99*$Q$88*Q$93</f>
        <v>349.05599999999998</v>
      </c>
      <c r="R101" s="7">
        <f t="shared" ref="R101:BI101" si="21">R$99*$Q$88*R$93</f>
        <v>356.03712000000002</v>
      </c>
      <c r="S101" s="7">
        <f t="shared" si="21"/>
        <v>361.73371392000001</v>
      </c>
      <c r="T101" s="7">
        <f t="shared" si="21"/>
        <v>370.05358934015999</v>
      </c>
      <c r="U101" s="7">
        <f t="shared" si="21"/>
        <v>382.6354113777254</v>
      </c>
      <c r="V101" s="7">
        <f t="shared" si="21"/>
        <v>487.60665354656209</v>
      </c>
      <c r="W101" s="7">
        <f t="shared" si="21"/>
        <v>573.06348973513491</v>
      </c>
      <c r="X101" s="7">
        <f t="shared" si="21"/>
        <v>658.52032592370756</v>
      </c>
      <c r="Y101" s="7">
        <f t="shared" si="21"/>
        <v>743.97716211228033</v>
      </c>
      <c r="Z101" s="7">
        <f t="shared" si="21"/>
        <v>829.43399830085309</v>
      </c>
      <c r="AA101" s="7">
        <f t="shared" si="21"/>
        <v>914.89083448942586</v>
      </c>
      <c r="AB101" s="7">
        <f t="shared" si="21"/>
        <v>1000.3476706779985</v>
      </c>
      <c r="AC101" s="7">
        <f t="shared" si="21"/>
        <v>1085.8045068665713</v>
      </c>
      <c r="AD101" s="7">
        <f t="shared" si="21"/>
        <v>1171.2613430551439</v>
      </c>
      <c r="AE101" s="7">
        <f t="shared" si="21"/>
        <v>1256.7181792437168</v>
      </c>
      <c r="AF101" s="7">
        <f t="shared" si="21"/>
        <v>1397.4706153190129</v>
      </c>
      <c r="AG101" s="7">
        <f t="shared" si="21"/>
        <v>1538.2230513943093</v>
      </c>
      <c r="AH101" s="7">
        <f t="shared" si="21"/>
        <v>1678.9754874696057</v>
      </c>
      <c r="AI101" s="7">
        <f t="shared" si="21"/>
        <v>1819.7279235449018</v>
      </c>
      <c r="AJ101" s="7">
        <f t="shared" si="21"/>
        <v>1960.480359620198</v>
      </c>
      <c r="AK101" s="7">
        <f t="shared" si="21"/>
        <v>2096.2059229785195</v>
      </c>
      <c r="AL101" s="7">
        <f t="shared" si="21"/>
        <v>2231.9314863368409</v>
      </c>
      <c r="AM101" s="7">
        <f t="shared" si="21"/>
        <v>2367.6570496951622</v>
      </c>
      <c r="AN101" s="7">
        <f t="shared" si="21"/>
        <v>2503.3826130534835</v>
      </c>
      <c r="AO101" s="7">
        <f t="shared" si="21"/>
        <v>2639.1081764118048</v>
      </c>
      <c r="AP101" s="7">
        <f t="shared" si="21"/>
        <v>2774.8337397701266</v>
      </c>
      <c r="AQ101" s="7">
        <f t="shared" si="21"/>
        <v>2910.5593031284484</v>
      </c>
      <c r="AR101" s="7">
        <f t="shared" si="21"/>
        <v>3046.2848664867697</v>
      </c>
      <c r="AS101" s="7">
        <f t="shared" si="21"/>
        <v>3182.010429845091</v>
      </c>
      <c r="AT101" s="7">
        <f t="shared" si="21"/>
        <v>3317.7359932034124</v>
      </c>
      <c r="AU101" s="7">
        <f t="shared" si="21"/>
        <v>3458.4884292787087</v>
      </c>
      <c r="AV101" s="7">
        <f t="shared" si="21"/>
        <v>3599.2408653540047</v>
      </c>
      <c r="AW101" s="7">
        <f t="shared" si="21"/>
        <v>3739.993301429301</v>
      </c>
      <c r="AX101" s="7">
        <f t="shared" si="21"/>
        <v>3880.7457375045969</v>
      </c>
      <c r="AY101" s="7">
        <f t="shared" si="21"/>
        <v>4021.4981735798938</v>
      </c>
      <c r="AZ101" s="7">
        <f t="shared" si="21"/>
        <v>4021.4981735798938</v>
      </c>
      <c r="BA101" s="7">
        <f t="shared" si="21"/>
        <v>4021.4981735798938</v>
      </c>
      <c r="BB101" s="7">
        <f t="shared" si="21"/>
        <v>4021.4981735798938</v>
      </c>
      <c r="BC101" s="7">
        <f t="shared" si="21"/>
        <v>4021.4981735798938</v>
      </c>
      <c r="BD101" s="7">
        <f t="shared" si="21"/>
        <v>4021.4981735798938</v>
      </c>
      <c r="BE101" s="7">
        <f t="shared" si="21"/>
        <v>4021.4981735798938</v>
      </c>
      <c r="BF101" s="7">
        <f t="shared" si="21"/>
        <v>4021.4981735798938</v>
      </c>
      <c r="BG101" s="7">
        <f t="shared" si="21"/>
        <v>4021.4981735798938</v>
      </c>
      <c r="BH101" s="7">
        <f t="shared" si="21"/>
        <v>4021.4981735798938</v>
      </c>
      <c r="BI101" s="7">
        <f t="shared" si="21"/>
        <v>4021.4981735798938</v>
      </c>
    </row>
    <row r="102" spans="1:61" hidden="1" outlineLevel="1"/>
    <row r="103" spans="1:61" hidden="1" outlineLevel="1"/>
    <row r="104" spans="1:61" s="613" customFormat="1" ht="18" collapsed="1">
      <c r="A104" s="1" t="s">
        <v>519</v>
      </c>
    </row>
    <row r="105" spans="1:61" s="613" customFormat="1">
      <c r="A105" s="609"/>
      <c r="B105" s="610"/>
      <c r="C105" s="610"/>
      <c r="D105" s="610"/>
      <c r="E105" s="610"/>
      <c r="F105" s="610"/>
      <c r="G105" s="610"/>
      <c r="H105" s="610"/>
      <c r="I105" s="610"/>
      <c r="J105" s="610"/>
      <c r="K105" s="610"/>
      <c r="L105" s="610"/>
      <c r="M105" s="610"/>
      <c r="N105" s="610"/>
      <c r="O105" s="610"/>
      <c r="P105" s="609"/>
      <c r="Q105" s="609">
        <v>2016</v>
      </c>
      <c r="R105" s="609">
        <f t="shared" ref="R105:S105" si="22">Q105+1</f>
        <v>2017</v>
      </c>
      <c r="S105" s="609">
        <f t="shared" si="22"/>
        <v>2018</v>
      </c>
      <c r="T105" s="609">
        <f>S105+1</f>
        <v>2019</v>
      </c>
      <c r="U105" s="609">
        <f t="shared" ref="U105" si="23">T105+1</f>
        <v>2020</v>
      </c>
      <c r="V105" s="609">
        <f t="shared" ref="V105" si="24">U105+1</f>
        <v>2021</v>
      </c>
      <c r="W105" s="609">
        <f t="shared" ref="W105" si="25">V105+1</f>
        <v>2022</v>
      </c>
      <c r="X105" s="609">
        <f t="shared" ref="X105" si="26">W105+1</f>
        <v>2023</v>
      </c>
      <c r="Y105" s="609">
        <f t="shared" ref="Y105" si="27">X105+1</f>
        <v>2024</v>
      </c>
      <c r="Z105" s="609">
        <f t="shared" ref="Z105" si="28">Y105+1</f>
        <v>2025</v>
      </c>
      <c r="AA105" s="609">
        <f t="shared" ref="AA105" si="29">Z105+1</f>
        <v>2026</v>
      </c>
      <c r="AB105" s="609">
        <f t="shared" ref="AB105" si="30">AA105+1</f>
        <v>2027</v>
      </c>
      <c r="AC105" s="609">
        <f t="shared" ref="AC105" si="31">AB105+1</f>
        <v>2028</v>
      </c>
      <c r="AD105" s="609">
        <f t="shared" ref="AD105" si="32">AC105+1</f>
        <v>2029</v>
      </c>
      <c r="AE105" s="609">
        <f t="shared" ref="AE105" si="33">AD105+1</f>
        <v>2030</v>
      </c>
      <c r="AF105" s="609">
        <f t="shared" ref="AF105" si="34">AE105+1</f>
        <v>2031</v>
      </c>
      <c r="AG105" s="609">
        <f t="shared" ref="AG105" si="35">AF105+1</f>
        <v>2032</v>
      </c>
      <c r="AH105" s="609">
        <f t="shared" ref="AH105" si="36">AG105+1</f>
        <v>2033</v>
      </c>
      <c r="AI105" s="609">
        <f t="shared" ref="AI105" si="37">AH105+1</f>
        <v>2034</v>
      </c>
      <c r="AJ105" s="609">
        <f t="shared" ref="AJ105" si="38">AI105+1</f>
        <v>2035</v>
      </c>
      <c r="AK105" s="609">
        <f t="shared" ref="AK105" si="39">AJ105+1</f>
        <v>2036</v>
      </c>
      <c r="AL105" s="609">
        <f t="shared" ref="AL105" si="40">AK105+1</f>
        <v>2037</v>
      </c>
      <c r="AM105" s="609">
        <f t="shared" ref="AM105" si="41">AL105+1</f>
        <v>2038</v>
      </c>
      <c r="AN105" s="609">
        <f t="shared" ref="AN105" si="42">AM105+1</f>
        <v>2039</v>
      </c>
      <c r="AO105" s="609">
        <f t="shared" ref="AO105" si="43">AN105+1</f>
        <v>2040</v>
      </c>
      <c r="AP105" s="609">
        <f t="shared" ref="AP105" si="44">AO105+1</f>
        <v>2041</v>
      </c>
      <c r="AQ105" s="609">
        <f t="shared" ref="AQ105" si="45">AP105+1</f>
        <v>2042</v>
      </c>
      <c r="AR105" s="609">
        <f t="shared" ref="AR105" si="46">AQ105+1</f>
        <v>2043</v>
      </c>
      <c r="AS105" s="609">
        <f t="shared" ref="AS105" si="47">AR105+1</f>
        <v>2044</v>
      </c>
      <c r="AT105" s="609">
        <f t="shared" ref="AT105" si="48">AS105+1</f>
        <v>2045</v>
      </c>
      <c r="AU105" s="609">
        <f t="shared" ref="AU105" si="49">AT105+1</f>
        <v>2046</v>
      </c>
      <c r="AV105" s="609">
        <f t="shared" ref="AV105" si="50">AU105+1</f>
        <v>2047</v>
      </c>
      <c r="AW105" s="609">
        <f t="shared" ref="AW105" si="51">AV105+1</f>
        <v>2048</v>
      </c>
      <c r="AX105" s="609">
        <f t="shared" ref="AX105" si="52">AW105+1</f>
        <v>2049</v>
      </c>
      <c r="AY105" s="609">
        <f t="shared" ref="AY105" si="53">AX105+1</f>
        <v>2050</v>
      </c>
      <c r="AZ105" s="609">
        <f t="shared" ref="AZ105" si="54">AY105+1</f>
        <v>2051</v>
      </c>
      <c r="BA105" s="609">
        <f t="shared" ref="BA105" si="55">AZ105+1</f>
        <v>2052</v>
      </c>
      <c r="BB105" s="609">
        <f t="shared" ref="BB105" si="56">BA105+1</f>
        <v>2053</v>
      </c>
      <c r="BC105" s="609">
        <f t="shared" ref="BC105" si="57">BB105+1</f>
        <v>2054</v>
      </c>
      <c r="BD105" s="609">
        <f t="shared" ref="BD105" si="58">BC105+1</f>
        <v>2055</v>
      </c>
      <c r="BE105" s="609">
        <f t="shared" ref="BE105" si="59">BD105+1</f>
        <v>2056</v>
      </c>
      <c r="BF105" s="609">
        <f t="shared" ref="BF105" si="60">BE105+1</f>
        <v>2057</v>
      </c>
      <c r="BG105" s="609">
        <f t="shared" ref="BG105" si="61">BF105+1</f>
        <v>2058</v>
      </c>
      <c r="BH105" s="609">
        <f t="shared" ref="BH105" si="62">BG105+1</f>
        <v>2059</v>
      </c>
      <c r="BI105" s="609">
        <f t="shared" ref="BI105" si="63">BH105+1</f>
        <v>2060</v>
      </c>
    </row>
    <row r="106" spans="1:61" s="613" customFormat="1" ht="33">
      <c r="A106" s="665" t="s">
        <v>520</v>
      </c>
      <c r="B106" s="533"/>
      <c r="C106" s="533"/>
      <c r="D106" s="533"/>
      <c r="E106" s="533"/>
      <c r="F106" s="533"/>
      <c r="G106" s="533"/>
      <c r="H106" s="533"/>
      <c r="I106" s="533"/>
      <c r="J106" s="533"/>
      <c r="K106" s="533"/>
      <c r="L106" s="533"/>
      <c r="M106" s="533"/>
      <c r="N106" s="533"/>
      <c r="O106" s="533"/>
      <c r="P106" s="533"/>
      <c r="Q106" s="710"/>
      <c r="R106" s="533">
        <f>(R$101-Q$101)/Q$101</f>
        <v>2.0000000000000094E-2</v>
      </c>
      <c r="S106" s="533">
        <f>(S$101-R$101)/R$101</f>
        <v>1.5999999999999993E-2</v>
      </c>
      <c r="T106" s="533">
        <f t="shared" ref="T106:BI106" si="64">(T$101-S$101)/S$101</f>
        <v>2.2999999999999927E-2</v>
      </c>
      <c r="U106" s="533">
        <f t="shared" si="64"/>
        <v>3.399999999999994E-2</v>
      </c>
      <c r="V106" s="533">
        <f t="shared" si="64"/>
        <v>0.27433749999999985</v>
      </c>
      <c r="W106" s="533">
        <f t="shared" si="64"/>
        <v>0.17525773195876307</v>
      </c>
      <c r="X106" s="533">
        <f t="shared" si="64"/>
        <v>0.14912280701754368</v>
      </c>
      <c r="Y106" s="533">
        <f t="shared" si="64"/>
        <v>0.12977099236641226</v>
      </c>
      <c r="Z106" s="533">
        <f t="shared" si="64"/>
        <v>0.1148648648648649</v>
      </c>
      <c r="AA106" s="533">
        <f t="shared" si="64"/>
        <v>0.10303030303030306</v>
      </c>
      <c r="AB106" s="533">
        <f t="shared" si="64"/>
        <v>9.3406593406593311E-2</v>
      </c>
      <c r="AC106" s="533">
        <f t="shared" si="64"/>
        <v>8.5427135678391983E-2</v>
      </c>
      <c r="AD106" s="533">
        <f t="shared" si="64"/>
        <v>7.8703703703703623E-2</v>
      </c>
      <c r="AE106" s="533">
        <f t="shared" si="64"/>
        <v>7.2961373390558068E-2</v>
      </c>
      <c r="AF106" s="533">
        <f t="shared" si="64"/>
        <v>0.11199999999999989</v>
      </c>
      <c r="AG106" s="533">
        <f t="shared" si="64"/>
        <v>0.10071942446043174</v>
      </c>
      <c r="AH106" s="533">
        <f t="shared" si="64"/>
        <v>9.1503267973856273E-2</v>
      </c>
      <c r="AI106" s="533">
        <f t="shared" si="64"/>
        <v>8.3832335329341229E-2</v>
      </c>
      <c r="AJ106" s="533">
        <f t="shared" si="64"/>
        <v>7.7348066298342469E-2</v>
      </c>
      <c r="AK106" s="533">
        <f t="shared" si="64"/>
        <v>6.9230769230769304E-2</v>
      </c>
      <c r="AL106" s="533">
        <f t="shared" si="64"/>
        <v>6.4748201438848879E-2</v>
      </c>
      <c r="AM106" s="533">
        <f t="shared" si="64"/>
        <v>6.0810810810810773E-2</v>
      </c>
      <c r="AN106" s="533">
        <f t="shared" si="64"/>
        <v>5.7324840764331177E-2</v>
      </c>
      <c r="AO106" s="533">
        <f t="shared" si="64"/>
        <v>5.4216867469879491E-2</v>
      </c>
      <c r="AP106" s="533">
        <f t="shared" si="64"/>
        <v>5.1428571428571573E-2</v>
      </c>
      <c r="AQ106" s="533">
        <f t="shared" si="64"/>
        <v>4.8913043478261004E-2</v>
      </c>
      <c r="AR106" s="533">
        <f t="shared" si="64"/>
        <v>4.6632124352331571E-2</v>
      </c>
      <c r="AS106" s="533">
        <f t="shared" si="64"/>
        <v>4.4554455445544525E-2</v>
      </c>
      <c r="AT106" s="533">
        <f t="shared" si="64"/>
        <v>4.2654028436018926E-2</v>
      </c>
      <c r="AU106" s="533">
        <f t="shared" si="64"/>
        <v>4.2424242424242455E-2</v>
      </c>
      <c r="AV106" s="533">
        <f t="shared" si="64"/>
        <v>4.0697674418604543E-2</v>
      </c>
      <c r="AW106" s="533">
        <f t="shared" si="64"/>
        <v>3.9106145251396676E-2</v>
      </c>
      <c r="AX106" s="533">
        <f t="shared" si="64"/>
        <v>3.7634408602150442E-2</v>
      </c>
      <c r="AY106" s="533">
        <f t="shared" si="64"/>
        <v>3.6269430051813614E-2</v>
      </c>
      <c r="AZ106" s="533">
        <f t="shared" si="64"/>
        <v>0</v>
      </c>
      <c r="BA106" s="533">
        <f t="shared" si="64"/>
        <v>0</v>
      </c>
      <c r="BB106" s="533">
        <f t="shared" si="64"/>
        <v>0</v>
      </c>
      <c r="BC106" s="533">
        <f t="shared" si="64"/>
        <v>0</v>
      </c>
      <c r="BD106" s="533">
        <f t="shared" si="64"/>
        <v>0</v>
      </c>
      <c r="BE106" s="533">
        <f t="shared" si="64"/>
        <v>0</v>
      </c>
      <c r="BF106" s="533">
        <f t="shared" si="64"/>
        <v>0</v>
      </c>
      <c r="BG106" s="533">
        <f t="shared" si="64"/>
        <v>0</v>
      </c>
      <c r="BH106" s="533">
        <f t="shared" si="64"/>
        <v>0</v>
      </c>
      <c r="BI106" s="533">
        <f t="shared" si="64"/>
        <v>0</v>
      </c>
    </row>
    <row r="107" spans="1:61" s="694" customFormat="1" ht="48">
      <c r="A107" s="693" t="s">
        <v>848</v>
      </c>
      <c r="B107" s="533"/>
      <c r="C107" s="533"/>
      <c r="D107" s="533"/>
      <c r="E107" s="533"/>
      <c r="F107" s="533"/>
      <c r="G107" s="533"/>
      <c r="H107" s="533"/>
      <c r="I107" s="533"/>
      <c r="J107" s="533"/>
      <c r="K107" s="533"/>
      <c r="L107" s="533"/>
      <c r="M107" s="533"/>
      <c r="N107" s="533"/>
      <c r="O107" s="533"/>
      <c r="P107" s="533"/>
      <c r="Q107" s="533">
        <f t="shared" ref="Q107:R107" si="65">(Q$101-$Q$101)/$Q$101</f>
        <v>0</v>
      </c>
      <c r="R107" s="533">
        <f t="shared" si="65"/>
        <v>2.0000000000000094E-2</v>
      </c>
      <c r="S107" s="533">
        <f>(S$101-$Q$101)/$Q$101</f>
        <v>3.6320000000000088E-2</v>
      </c>
      <c r="T107" s="533">
        <f t="shared" ref="T107:BI107" si="66">(T$101-$Q$101)/$Q$101</f>
        <v>6.0155360000000019E-2</v>
      </c>
      <c r="U107" s="533">
        <f t="shared" si="66"/>
        <v>9.6200642239999953E-2</v>
      </c>
      <c r="V107" s="533">
        <f t="shared" si="66"/>
        <v>0.39692958593051575</v>
      </c>
      <c r="W107" s="533">
        <f t="shared" si="66"/>
        <v>0.64175229686679192</v>
      </c>
      <c r="X107" s="533">
        <f t="shared" si="66"/>
        <v>0.88657500780306764</v>
      </c>
      <c r="Y107" s="533">
        <f t="shared" si="66"/>
        <v>1.1313977187393438</v>
      </c>
      <c r="Z107" s="533">
        <f t="shared" si="66"/>
        <v>1.3762204296756197</v>
      </c>
      <c r="AA107" s="533">
        <f t="shared" si="66"/>
        <v>1.6210431406118959</v>
      </c>
      <c r="AB107" s="533">
        <f t="shared" si="66"/>
        <v>1.8658658515481716</v>
      </c>
      <c r="AC107" s="533">
        <f t="shared" si="66"/>
        <v>2.1106885624844476</v>
      </c>
      <c r="AD107" s="533">
        <f t="shared" si="66"/>
        <v>2.3555112734207233</v>
      </c>
      <c r="AE107" s="533">
        <f t="shared" si="66"/>
        <v>2.6003339843569995</v>
      </c>
      <c r="AF107" s="533">
        <f t="shared" si="66"/>
        <v>3.003571390604983</v>
      </c>
      <c r="AG107" s="533">
        <f t="shared" si="66"/>
        <v>3.4068087968529674</v>
      </c>
      <c r="AH107" s="533">
        <f t="shared" si="66"/>
        <v>3.8100462031009514</v>
      </c>
      <c r="AI107" s="533">
        <f t="shared" si="66"/>
        <v>4.2132836093489354</v>
      </c>
      <c r="AJ107" s="533">
        <f t="shared" si="66"/>
        <v>4.616521015596919</v>
      </c>
      <c r="AK107" s="533">
        <f t="shared" si="66"/>
        <v>5.005357085907475</v>
      </c>
      <c r="AL107" s="533">
        <f t="shared" si="66"/>
        <v>5.394193156218031</v>
      </c>
      <c r="AM107" s="533">
        <f t="shared" si="66"/>
        <v>5.7830292265285861</v>
      </c>
      <c r="AN107" s="533">
        <f t="shared" si="66"/>
        <v>6.1718652968391421</v>
      </c>
      <c r="AO107" s="533">
        <f t="shared" si="66"/>
        <v>6.5607013671496981</v>
      </c>
      <c r="AP107" s="533">
        <f t="shared" si="66"/>
        <v>6.949537437460255</v>
      </c>
      <c r="AQ107" s="533">
        <f t="shared" si="66"/>
        <v>7.3383735077708119</v>
      </c>
      <c r="AR107" s="533">
        <f t="shared" si="66"/>
        <v>7.7272095780813679</v>
      </c>
      <c r="AS107" s="533">
        <f t="shared" si="66"/>
        <v>8.116045648391923</v>
      </c>
      <c r="AT107" s="533">
        <f t="shared" si="66"/>
        <v>8.5048817187024781</v>
      </c>
      <c r="AU107" s="533">
        <f t="shared" si="66"/>
        <v>8.9081191249504634</v>
      </c>
      <c r="AV107" s="533">
        <f t="shared" si="66"/>
        <v>9.3113565311984452</v>
      </c>
      <c r="AW107" s="533">
        <f t="shared" si="66"/>
        <v>9.7145939374464305</v>
      </c>
      <c r="AX107" s="533">
        <f t="shared" si="66"/>
        <v>10.117831343694412</v>
      </c>
      <c r="AY107" s="533">
        <f t="shared" si="66"/>
        <v>10.521068749942399</v>
      </c>
      <c r="AZ107" s="533">
        <f t="shared" si="66"/>
        <v>10.521068749942399</v>
      </c>
      <c r="BA107" s="533">
        <f t="shared" si="66"/>
        <v>10.521068749942399</v>
      </c>
      <c r="BB107" s="533">
        <f t="shared" si="66"/>
        <v>10.521068749942399</v>
      </c>
      <c r="BC107" s="533">
        <f t="shared" si="66"/>
        <v>10.521068749942399</v>
      </c>
      <c r="BD107" s="533">
        <f t="shared" si="66"/>
        <v>10.521068749942399</v>
      </c>
      <c r="BE107" s="533">
        <f t="shared" si="66"/>
        <v>10.521068749942399</v>
      </c>
      <c r="BF107" s="533">
        <f t="shared" si="66"/>
        <v>10.521068749942399</v>
      </c>
      <c r="BG107" s="533">
        <f t="shared" si="66"/>
        <v>10.521068749942399</v>
      </c>
      <c r="BH107" s="533">
        <f t="shared" si="66"/>
        <v>10.521068749942399</v>
      </c>
      <c r="BI107" s="533">
        <f t="shared" si="66"/>
        <v>10.521068749942399</v>
      </c>
    </row>
    <row r="108" spans="1:61" s="613" customFormat="1"/>
    <row r="109" spans="1:61">
      <c r="A109" s="787" t="s">
        <v>670</v>
      </c>
      <c r="B109" s="787"/>
      <c r="C109" s="787"/>
      <c r="D109" s="787"/>
      <c r="E109" s="787"/>
      <c r="F109" s="787"/>
      <c r="G109" s="787"/>
      <c r="H109" s="787"/>
      <c r="I109" s="787"/>
      <c r="J109" s="787"/>
      <c r="K109" s="787"/>
      <c r="L109" s="787"/>
      <c r="M109" s="787"/>
      <c r="N109" s="787"/>
      <c r="O109" s="787"/>
      <c r="P109" s="787"/>
      <c r="Q109" s="787"/>
      <c r="R109" s="787"/>
      <c r="S109" s="787"/>
      <c r="T109" s="787"/>
      <c r="U109" s="787"/>
      <c r="V109" s="787"/>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row>
    <row r="110" spans="1:61" s="690" customFormat="1">
      <c r="A110" s="787"/>
      <c r="B110" s="787"/>
      <c r="C110" s="787"/>
      <c r="D110" s="787"/>
      <c r="E110" s="787"/>
      <c r="F110" s="787"/>
      <c r="G110" s="787"/>
      <c r="H110" s="787"/>
      <c r="I110" s="787"/>
      <c r="J110" s="787"/>
      <c r="K110" s="787"/>
      <c r="L110" s="787"/>
      <c r="M110" s="787"/>
      <c r="N110" s="787"/>
      <c r="O110" s="787"/>
      <c r="P110" s="787"/>
      <c r="Q110" s="787"/>
      <c r="R110" s="787"/>
      <c r="S110" s="787"/>
      <c r="T110" s="787"/>
      <c r="U110" s="787"/>
      <c r="V110" s="787"/>
    </row>
    <row r="111" spans="1:61">
      <c r="A111" s="715" t="str">
        <f>$A$36</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11" s="715"/>
      <c r="C111" s="715"/>
      <c r="D111" s="715"/>
      <c r="E111" s="715"/>
      <c r="F111" s="715"/>
      <c r="G111" s="715"/>
      <c r="H111" s="715"/>
      <c r="I111" s="715"/>
      <c r="J111" s="715"/>
      <c r="K111" s="715"/>
      <c r="L111" s="715"/>
      <c r="M111" s="715"/>
      <c r="N111" s="715"/>
      <c r="O111" s="715"/>
      <c r="P111" s="715"/>
      <c r="Q111" s="715"/>
      <c r="R111" s="715"/>
      <c r="S111" s="715"/>
      <c r="T111" s="715"/>
      <c r="U111" s="715"/>
      <c r="V111" s="715"/>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0"/>
      <c r="AZ111" s="330"/>
      <c r="BA111" s="330"/>
      <c r="BB111" s="330"/>
      <c r="BC111" s="330"/>
      <c r="BD111" s="330"/>
      <c r="BE111" s="330"/>
      <c r="BF111" s="330"/>
      <c r="BG111" s="330"/>
      <c r="BH111" s="330"/>
      <c r="BI111" s="330"/>
    </row>
    <row r="112" spans="1:61" s="690" customFormat="1">
      <c r="A112" s="715"/>
      <c r="B112" s="715"/>
      <c r="C112" s="715"/>
      <c r="D112" s="715"/>
      <c r="E112" s="715"/>
      <c r="F112" s="715"/>
      <c r="G112" s="715"/>
      <c r="H112" s="715"/>
      <c r="I112" s="715"/>
      <c r="J112" s="715"/>
      <c r="K112" s="715"/>
      <c r="L112" s="715"/>
      <c r="M112" s="715"/>
      <c r="N112" s="715"/>
      <c r="O112" s="715"/>
      <c r="P112" s="715"/>
      <c r="Q112" s="715"/>
      <c r="R112" s="715"/>
      <c r="S112" s="715"/>
      <c r="T112" s="715"/>
      <c r="U112" s="715"/>
      <c r="V112" s="715"/>
    </row>
    <row r="113" spans="1:61" s="690" customFormat="1">
      <c r="A113" s="779"/>
      <c r="B113" s="779"/>
      <c r="C113" s="779"/>
      <c r="D113" s="779"/>
      <c r="E113" s="779"/>
      <c r="F113" s="779"/>
      <c r="G113" s="779"/>
      <c r="H113" s="779"/>
      <c r="I113" s="779"/>
      <c r="J113" s="779"/>
      <c r="K113" s="779"/>
      <c r="L113" s="779"/>
      <c r="M113" s="779"/>
      <c r="N113" s="779"/>
      <c r="O113" s="779"/>
      <c r="P113" s="779"/>
      <c r="Q113" s="779"/>
      <c r="R113" s="779"/>
      <c r="S113" s="779"/>
      <c r="T113" s="779"/>
      <c r="U113" s="779"/>
      <c r="V113" s="779"/>
    </row>
    <row r="114" spans="1:61" s="534" customFormat="1">
      <c r="A114" s="718" t="s">
        <v>330</v>
      </c>
      <c r="B114" s="685" t="s">
        <v>328</v>
      </c>
      <c r="C114" s="671"/>
      <c r="D114" s="671"/>
      <c r="E114" s="671"/>
      <c r="F114" s="671"/>
      <c r="G114" s="671"/>
      <c r="H114" s="671"/>
      <c r="I114" s="671"/>
      <c r="J114" s="671"/>
      <c r="K114" s="671"/>
      <c r="L114" s="671"/>
      <c r="M114" s="671"/>
      <c r="N114" s="671"/>
      <c r="O114" s="671"/>
      <c r="P114" s="674"/>
      <c r="Q114" s="6"/>
      <c r="R114" s="6"/>
      <c r="S114" s="6"/>
      <c r="T114" s="6">
        <v>2020</v>
      </c>
      <c r="U114" s="6">
        <f>T114+1</f>
        <v>2021</v>
      </c>
      <c r="V114" s="6">
        <f t="shared" ref="V114:BI114" si="67">U114+1</f>
        <v>2022</v>
      </c>
      <c r="W114" s="6">
        <f t="shared" si="67"/>
        <v>2023</v>
      </c>
      <c r="X114" s="6">
        <f t="shared" si="67"/>
        <v>2024</v>
      </c>
      <c r="Y114" s="6">
        <f t="shared" si="67"/>
        <v>2025</v>
      </c>
      <c r="Z114" s="6">
        <f t="shared" si="67"/>
        <v>2026</v>
      </c>
      <c r="AA114" s="6">
        <f t="shared" si="67"/>
        <v>2027</v>
      </c>
      <c r="AB114" s="6">
        <f t="shared" si="67"/>
        <v>2028</v>
      </c>
      <c r="AC114" s="6">
        <f t="shared" si="67"/>
        <v>2029</v>
      </c>
      <c r="AD114" s="6">
        <f t="shared" si="67"/>
        <v>2030</v>
      </c>
      <c r="AE114" s="6">
        <f t="shared" si="67"/>
        <v>2031</v>
      </c>
      <c r="AF114" s="6">
        <f t="shared" si="67"/>
        <v>2032</v>
      </c>
      <c r="AG114" s="6">
        <f t="shared" si="67"/>
        <v>2033</v>
      </c>
      <c r="AH114" s="6">
        <f t="shared" si="67"/>
        <v>2034</v>
      </c>
      <c r="AI114" s="6">
        <f t="shared" si="67"/>
        <v>2035</v>
      </c>
      <c r="AJ114" s="6">
        <f t="shared" si="67"/>
        <v>2036</v>
      </c>
      <c r="AK114" s="6">
        <f t="shared" si="67"/>
        <v>2037</v>
      </c>
      <c r="AL114" s="6">
        <f t="shared" si="67"/>
        <v>2038</v>
      </c>
      <c r="AM114" s="6">
        <f t="shared" si="67"/>
        <v>2039</v>
      </c>
      <c r="AN114" s="6">
        <f t="shared" si="67"/>
        <v>2040</v>
      </c>
      <c r="AO114" s="6">
        <f t="shared" si="67"/>
        <v>2041</v>
      </c>
      <c r="AP114" s="6">
        <f t="shared" si="67"/>
        <v>2042</v>
      </c>
      <c r="AQ114" s="6">
        <f t="shared" si="67"/>
        <v>2043</v>
      </c>
      <c r="AR114" s="6">
        <f t="shared" si="67"/>
        <v>2044</v>
      </c>
      <c r="AS114" s="6">
        <f t="shared" si="67"/>
        <v>2045</v>
      </c>
      <c r="AT114" s="6">
        <f t="shared" si="67"/>
        <v>2046</v>
      </c>
      <c r="AU114" s="6">
        <f t="shared" si="67"/>
        <v>2047</v>
      </c>
      <c r="AV114" s="6">
        <f t="shared" si="67"/>
        <v>2048</v>
      </c>
      <c r="AW114" s="6">
        <f t="shared" si="67"/>
        <v>2049</v>
      </c>
      <c r="AX114" s="6">
        <f t="shared" si="67"/>
        <v>2050</v>
      </c>
      <c r="AY114" s="6">
        <f t="shared" si="67"/>
        <v>2051</v>
      </c>
      <c r="AZ114" s="6">
        <f t="shared" si="67"/>
        <v>2052</v>
      </c>
      <c r="BA114" s="6">
        <f t="shared" si="67"/>
        <v>2053</v>
      </c>
      <c r="BB114" s="6">
        <f t="shared" si="67"/>
        <v>2054</v>
      </c>
      <c r="BC114" s="6">
        <f t="shared" si="67"/>
        <v>2055</v>
      </c>
      <c r="BD114" s="6">
        <f t="shared" si="67"/>
        <v>2056</v>
      </c>
      <c r="BE114" s="6">
        <f t="shared" si="67"/>
        <v>2057</v>
      </c>
      <c r="BF114" s="6">
        <f t="shared" si="67"/>
        <v>2058</v>
      </c>
      <c r="BG114" s="6">
        <f t="shared" si="67"/>
        <v>2059</v>
      </c>
      <c r="BH114" s="6">
        <f t="shared" si="67"/>
        <v>2060</v>
      </c>
      <c r="BI114" s="6">
        <f t="shared" si="67"/>
        <v>2061</v>
      </c>
    </row>
    <row r="115" spans="1:61">
      <c r="A115" s="719"/>
      <c r="B115" s="686" t="s">
        <v>530</v>
      </c>
      <c r="C115" s="681"/>
      <c r="D115" s="681"/>
      <c r="E115" s="681"/>
      <c r="F115" s="681"/>
      <c r="G115" s="681"/>
      <c r="H115" s="681"/>
      <c r="I115" s="681"/>
      <c r="J115" s="681"/>
      <c r="K115" s="681"/>
      <c r="L115" s="681"/>
      <c r="M115" s="681"/>
      <c r="N115" s="681"/>
      <c r="O115" s="681"/>
      <c r="P115" s="687"/>
      <c r="Q115" s="683">
        <f>DATE(2016,12,31)</f>
        <v>42735</v>
      </c>
      <c r="R115" s="683">
        <f>DATE(YEAR(Q115+1),12,31)</f>
        <v>43100</v>
      </c>
      <c r="S115" s="683">
        <f t="shared" ref="S115" si="68">DATE(YEAR(R115+1),12,31)</f>
        <v>43465</v>
      </c>
      <c r="T115" s="683">
        <f>DATE(YEAR(S115+1),12,31)</f>
        <v>43830</v>
      </c>
      <c r="U115" s="683">
        <f t="shared" ref="U115:BI115" si="69">DATE(YEAR(T115+1),12,31)</f>
        <v>44196</v>
      </c>
      <c r="V115" s="683">
        <f t="shared" si="69"/>
        <v>44561</v>
      </c>
      <c r="W115" s="683">
        <f t="shared" si="69"/>
        <v>44926</v>
      </c>
      <c r="X115" s="683">
        <f t="shared" si="69"/>
        <v>45291</v>
      </c>
      <c r="Y115" s="683">
        <f t="shared" si="69"/>
        <v>45657</v>
      </c>
      <c r="Z115" s="683">
        <f t="shared" si="69"/>
        <v>46022</v>
      </c>
      <c r="AA115" s="683">
        <f t="shared" si="69"/>
        <v>46387</v>
      </c>
      <c r="AB115" s="683">
        <f t="shared" si="69"/>
        <v>46752</v>
      </c>
      <c r="AC115" s="683">
        <f t="shared" si="69"/>
        <v>47118</v>
      </c>
      <c r="AD115" s="683">
        <f t="shared" si="69"/>
        <v>47483</v>
      </c>
      <c r="AE115" s="683">
        <f t="shared" si="69"/>
        <v>47848</v>
      </c>
      <c r="AF115" s="683">
        <f t="shared" si="69"/>
        <v>48213</v>
      </c>
      <c r="AG115" s="683">
        <f t="shared" si="69"/>
        <v>48579</v>
      </c>
      <c r="AH115" s="683">
        <f t="shared" si="69"/>
        <v>48944</v>
      </c>
      <c r="AI115" s="683">
        <f t="shared" si="69"/>
        <v>49309</v>
      </c>
      <c r="AJ115" s="683">
        <f t="shared" si="69"/>
        <v>49674</v>
      </c>
      <c r="AK115" s="683">
        <f t="shared" si="69"/>
        <v>50040</v>
      </c>
      <c r="AL115" s="683">
        <f t="shared" si="69"/>
        <v>50405</v>
      </c>
      <c r="AM115" s="683">
        <f t="shared" si="69"/>
        <v>50770</v>
      </c>
      <c r="AN115" s="683">
        <f t="shared" si="69"/>
        <v>51135</v>
      </c>
      <c r="AO115" s="683">
        <f t="shared" si="69"/>
        <v>51501</v>
      </c>
      <c r="AP115" s="683">
        <f t="shared" si="69"/>
        <v>51866</v>
      </c>
      <c r="AQ115" s="683">
        <f t="shared" si="69"/>
        <v>52231</v>
      </c>
      <c r="AR115" s="683">
        <f t="shared" si="69"/>
        <v>52596</v>
      </c>
      <c r="AS115" s="683">
        <f t="shared" si="69"/>
        <v>52962</v>
      </c>
      <c r="AT115" s="683">
        <f t="shared" si="69"/>
        <v>53327</v>
      </c>
      <c r="AU115" s="683">
        <f t="shared" si="69"/>
        <v>53692</v>
      </c>
      <c r="AV115" s="683">
        <f t="shared" si="69"/>
        <v>54057</v>
      </c>
      <c r="AW115" s="683">
        <f t="shared" si="69"/>
        <v>54423</v>
      </c>
      <c r="AX115" s="683">
        <f t="shared" si="69"/>
        <v>54788</v>
      </c>
      <c r="AY115" s="683">
        <f t="shared" si="69"/>
        <v>55153</v>
      </c>
      <c r="AZ115" s="683">
        <f t="shared" si="69"/>
        <v>55518</v>
      </c>
      <c r="BA115" s="683">
        <f t="shared" si="69"/>
        <v>55884</v>
      </c>
      <c r="BB115" s="683">
        <f t="shared" si="69"/>
        <v>56249</v>
      </c>
      <c r="BC115" s="683">
        <f t="shared" si="69"/>
        <v>56614</v>
      </c>
      <c r="BD115" s="683">
        <f t="shared" si="69"/>
        <v>56979</v>
      </c>
      <c r="BE115" s="683">
        <f t="shared" si="69"/>
        <v>57345</v>
      </c>
      <c r="BF115" s="683">
        <f t="shared" si="69"/>
        <v>57710</v>
      </c>
      <c r="BG115" s="683">
        <f t="shared" si="69"/>
        <v>58075</v>
      </c>
      <c r="BH115" s="683">
        <f t="shared" si="69"/>
        <v>58440</v>
      </c>
      <c r="BI115" s="683">
        <f t="shared" si="69"/>
        <v>58806</v>
      </c>
    </row>
    <row r="116" spans="1:61">
      <c r="A116" s="8" t="str">
        <f>"Prędkość "&amp;$S$49&amp;" km/h"</f>
        <v>Prędkość 61-70 km/h</v>
      </c>
      <c r="B116" s="129" t="s">
        <v>42</v>
      </c>
      <c r="C116" s="13"/>
      <c r="D116" s="13"/>
      <c r="E116" s="13"/>
      <c r="F116" s="13"/>
      <c r="G116" s="13"/>
      <c r="H116" s="13"/>
      <c r="I116" s="13"/>
      <c r="J116" s="13"/>
      <c r="K116" s="13"/>
      <c r="L116" s="13"/>
      <c r="M116" s="13"/>
      <c r="N116" s="13"/>
      <c r="O116" s="13"/>
      <c r="P116" s="13"/>
      <c r="Q116" s="93"/>
      <c r="R116" s="93"/>
      <c r="S116" s="93"/>
      <c r="T116" s="10">
        <f t="shared" ref="T116:BI116" si="70">T$101*($T$49*10^-6)*$T$74</f>
        <v>6.4298020717986251E-2</v>
      </c>
      <c r="U116" s="10">
        <f t="shared" si="70"/>
        <v>6.6484153422397774E-2</v>
      </c>
      <c r="V116" s="10">
        <f t="shared" si="70"/>
        <v>8.4723249861914818E-2</v>
      </c>
      <c r="W116" s="10">
        <f t="shared" si="70"/>
        <v>9.9571654476889593E-2</v>
      </c>
      <c r="X116" s="10">
        <f t="shared" si="70"/>
        <v>0.11442005909186434</v>
      </c>
      <c r="Y116" s="10">
        <f t="shared" si="70"/>
        <v>0.12926846370683912</v>
      </c>
      <c r="Z116" s="10">
        <f t="shared" si="70"/>
        <v>0.14411686832181389</v>
      </c>
      <c r="AA116" s="10">
        <f t="shared" si="70"/>
        <v>0.15896527293678864</v>
      </c>
      <c r="AB116" s="10">
        <f t="shared" si="70"/>
        <v>0.17381367755176338</v>
      </c>
      <c r="AC116" s="10">
        <f t="shared" si="70"/>
        <v>0.18866208216673816</v>
      </c>
      <c r="AD116" s="10">
        <f t="shared" si="70"/>
        <v>0.20351048678171291</v>
      </c>
      <c r="AE116" s="10">
        <f t="shared" si="70"/>
        <v>0.21835889139668768</v>
      </c>
      <c r="AF116" s="10">
        <f t="shared" si="70"/>
        <v>0.24281508723311668</v>
      </c>
      <c r="AG116" s="10">
        <f t="shared" si="70"/>
        <v>0.26727128306954573</v>
      </c>
      <c r="AH116" s="10">
        <f t="shared" si="70"/>
        <v>0.29172747890597478</v>
      </c>
      <c r="AI116" s="10">
        <f t="shared" si="70"/>
        <v>0.31618367474240378</v>
      </c>
      <c r="AJ116" s="10">
        <f t="shared" si="70"/>
        <v>0.34063987057883277</v>
      </c>
      <c r="AK116" s="10">
        <f t="shared" si="70"/>
        <v>0.36422263084967504</v>
      </c>
      <c r="AL116" s="10">
        <f t="shared" si="70"/>
        <v>0.38780539112051732</v>
      </c>
      <c r="AM116" s="10">
        <f t="shared" si="70"/>
        <v>0.41138815139135959</v>
      </c>
      <c r="AN116" s="10">
        <f t="shared" si="70"/>
        <v>0.43497091166220181</v>
      </c>
      <c r="AO116" s="10">
        <f t="shared" si="70"/>
        <v>0.45855367193304408</v>
      </c>
      <c r="AP116" s="10">
        <f t="shared" si="70"/>
        <v>0.48213643220388641</v>
      </c>
      <c r="AQ116" s="10">
        <f t="shared" si="70"/>
        <v>0.50571919247472874</v>
      </c>
      <c r="AR116" s="10">
        <f t="shared" si="70"/>
        <v>0.52930195274557101</v>
      </c>
      <c r="AS116" s="10">
        <f t="shared" si="70"/>
        <v>0.55288471301641329</v>
      </c>
      <c r="AT116" s="10">
        <f t="shared" si="70"/>
        <v>0.57646747328725556</v>
      </c>
      <c r="AU116" s="10">
        <f t="shared" si="70"/>
        <v>0.60092366912368456</v>
      </c>
      <c r="AV116" s="10">
        <f t="shared" si="70"/>
        <v>0.62537986496011355</v>
      </c>
      <c r="AW116" s="10">
        <f t="shared" si="70"/>
        <v>0.64983606079654255</v>
      </c>
      <c r="AX116" s="10">
        <f t="shared" si="70"/>
        <v>0.67429225663297154</v>
      </c>
      <c r="AY116" s="10">
        <f t="shared" si="70"/>
        <v>0.69874845246940065</v>
      </c>
      <c r="AZ116" s="10">
        <f t="shared" si="70"/>
        <v>0.69874845246940065</v>
      </c>
      <c r="BA116" s="10">
        <f t="shared" si="70"/>
        <v>0.69874845246940065</v>
      </c>
      <c r="BB116" s="10">
        <f t="shared" si="70"/>
        <v>0.69874845246940065</v>
      </c>
      <c r="BC116" s="10">
        <f t="shared" si="70"/>
        <v>0.69874845246940065</v>
      </c>
      <c r="BD116" s="10">
        <f t="shared" si="70"/>
        <v>0.69874845246940065</v>
      </c>
      <c r="BE116" s="10">
        <f t="shared" si="70"/>
        <v>0.69874845246940065</v>
      </c>
      <c r="BF116" s="10">
        <f t="shared" si="70"/>
        <v>0.69874845246940065</v>
      </c>
      <c r="BG116" s="10">
        <f t="shared" si="70"/>
        <v>0.69874845246940065</v>
      </c>
      <c r="BH116" s="10">
        <f t="shared" si="70"/>
        <v>0.69874845246940065</v>
      </c>
      <c r="BI116" s="10">
        <f t="shared" si="70"/>
        <v>0.69874845246940065</v>
      </c>
    </row>
    <row r="117" spans="1:61"/>
    <row r="118" spans="1:61"/>
    <row r="119" spans="1:61"/>
    <row r="120" spans="1:61">
      <c r="A120" s="132" t="s">
        <v>640</v>
      </c>
      <c r="B120" s="132"/>
      <c r="C120" s="132"/>
      <c r="D120" s="132"/>
      <c r="E120" s="132"/>
      <c r="F120" s="132"/>
      <c r="G120" s="132"/>
      <c r="H120" s="132"/>
      <c r="I120" s="132"/>
      <c r="J120" s="132"/>
      <c r="K120" s="132"/>
      <c r="L120" s="132"/>
      <c r="M120" s="132"/>
      <c r="N120" s="132"/>
      <c r="O120" s="132"/>
      <c r="P120" s="132"/>
      <c r="Q120" s="132"/>
    </row>
    <row r="121" spans="1:61" hidden="1" outlineLevel="1">
      <c r="A121" s="330"/>
      <c r="B121" s="330"/>
      <c r="C121" s="330"/>
      <c r="D121" s="330"/>
      <c r="E121" s="330"/>
      <c r="F121" s="330"/>
      <c r="G121" s="330"/>
      <c r="H121" s="330"/>
      <c r="I121" s="330"/>
      <c r="J121" s="330"/>
      <c r="K121" s="330"/>
      <c r="L121" s="330"/>
      <c r="M121" s="330"/>
      <c r="N121" s="330"/>
      <c r="O121" s="330"/>
      <c r="P121" s="330"/>
      <c r="Q121" s="330"/>
    </row>
    <row r="122" spans="1:61" s="613" customFormat="1" hidden="1" outlineLevel="1"/>
    <row r="123" spans="1:61" s="613" customFormat="1" hidden="1" outlineLevel="1"/>
    <row r="124" spans="1:61" s="613" customFormat="1" hidden="1" outlineLevel="1"/>
    <row r="125" spans="1:61" s="613" customFormat="1" hidden="1" outlineLevel="1"/>
    <row r="126" spans="1:61" s="613" customFormat="1" hidden="1" outlineLevel="1"/>
    <row r="127" spans="1:61" s="613" customFormat="1" hidden="1" outlineLevel="1"/>
    <row r="128" spans="1:61" s="613" customFormat="1" hidden="1" outlineLevel="1"/>
    <row r="129" spans="1:22" s="613" customFormat="1" hidden="1" outlineLevel="1"/>
    <row r="130" spans="1:22" s="613" customFormat="1" hidden="1" outlineLevel="1"/>
    <row r="131" spans="1:22" s="613" customFormat="1" hidden="1" outlineLevel="1"/>
    <row r="132" spans="1:22" s="613" customFormat="1" hidden="1" outlineLevel="1"/>
    <row r="133" spans="1:22" s="613" customFormat="1" hidden="1" outlineLevel="1"/>
    <row r="134" spans="1:22" s="613" customFormat="1" hidden="1" outlineLevel="1"/>
    <row r="135" spans="1:22" hidden="1" outlineLevel="1">
      <c r="A135" s="1" t="s">
        <v>471</v>
      </c>
      <c r="B135" s="330"/>
      <c r="C135" s="330"/>
      <c r="D135" s="330"/>
      <c r="E135" s="330"/>
      <c r="F135" s="330"/>
      <c r="G135" s="330"/>
      <c r="H135" s="330"/>
      <c r="I135" s="330"/>
      <c r="J135" s="330"/>
      <c r="K135" s="330"/>
      <c r="L135" s="330"/>
      <c r="M135" s="330"/>
      <c r="N135" s="330"/>
      <c r="O135" s="330"/>
      <c r="P135" s="330"/>
      <c r="Q135" s="330"/>
    </row>
    <row r="136" spans="1:22" ht="18" hidden="1" outlineLevel="1">
      <c r="A136" s="330" t="s">
        <v>671</v>
      </c>
      <c r="B136" s="330"/>
      <c r="C136" s="330"/>
      <c r="D136" s="330"/>
      <c r="E136" s="330"/>
      <c r="F136" s="330"/>
      <c r="G136" s="330"/>
      <c r="H136" s="330"/>
      <c r="I136" s="330"/>
      <c r="J136" s="330"/>
      <c r="K136" s="330"/>
      <c r="L136" s="330"/>
      <c r="M136" s="330"/>
      <c r="N136" s="330"/>
      <c r="O136" s="330"/>
      <c r="P136" s="330"/>
      <c r="Q136" s="330"/>
    </row>
    <row r="137" spans="1:22" ht="18" hidden="1" customHeight="1" outlineLevel="1">
      <c r="A137" s="715" t="s">
        <v>672</v>
      </c>
      <c r="B137" s="715"/>
      <c r="C137" s="715"/>
      <c r="D137" s="715"/>
      <c r="E137" s="715"/>
      <c r="F137" s="715"/>
      <c r="G137" s="715"/>
      <c r="H137" s="715"/>
      <c r="I137" s="715"/>
      <c r="J137" s="715"/>
      <c r="K137" s="715"/>
      <c r="L137" s="715"/>
      <c r="M137" s="715"/>
      <c r="N137" s="715"/>
      <c r="O137" s="715"/>
      <c r="P137" s="715"/>
      <c r="Q137" s="715"/>
      <c r="R137" s="715"/>
      <c r="S137" s="715"/>
      <c r="T137" s="715"/>
      <c r="U137" s="715"/>
      <c r="V137" s="715"/>
    </row>
    <row r="138" spans="1:22" s="613" customFormat="1" hidden="1" outlineLevel="1">
      <c r="A138" s="715"/>
      <c r="B138" s="715"/>
      <c r="C138" s="715"/>
      <c r="D138" s="715"/>
      <c r="E138" s="715"/>
      <c r="F138" s="715"/>
      <c r="G138" s="715"/>
      <c r="H138" s="715"/>
      <c r="I138" s="715"/>
      <c r="J138" s="715"/>
      <c r="K138" s="715"/>
      <c r="L138" s="715"/>
      <c r="M138" s="715"/>
      <c r="N138" s="715"/>
      <c r="O138" s="715"/>
      <c r="P138" s="715"/>
      <c r="Q138" s="715"/>
      <c r="R138" s="715"/>
      <c r="S138" s="715"/>
      <c r="T138" s="715"/>
      <c r="U138" s="715"/>
      <c r="V138" s="715"/>
    </row>
    <row r="139" spans="1:22" hidden="1" outlineLevel="1">
      <c r="A139" s="491"/>
      <c r="B139" s="330"/>
      <c r="C139" s="330"/>
      <c r="D139" s="330"/>
      <c r="E139" s="330"/>
      <c r="F139" s="330"/>
      <c r="G139" s="330"/>
      <c r="H139" s="330"/>
      <c r="I139" s="330"/>
      <c r="J139" s="330"/>
      <c r="K139" s="330"/>
      <c r="L139" s="330"/>
      <c r="M139" s="330"/>
      <c r="N139" s="330"/>
      <c r="O139" s="330"/>
      <c r="P139" s="330"/>
      <c r="Q139" s="330"/>
    </row>
    <row r="140" spans="1:22" s="602" customFormat="1" hidden="1" outlineLevel="1">
      <c r="A140" s="206" t="s">
        <v>472</v>
      </c>
      <c r="B140" s="195"/>
      <c r="C140" s="195"/>
      <c r="D140" s="195"/>
      <c r="E140" s="195"/>
      <c r="F140" s="195"/>
      <c r="G140" s="195"/>
      <c r="H140" s="195"/>
      <c r="I140" s="195"/>
      <c r="J140" s="195"/>
      <c r="K140" s="195"/>
      <c r="L140" s="195"/>
      <c r="M140" s="195"/>
      <c r="N140" s="195"/>
      <c r="O140" s="195"/>
      <c r="P140" s="195"/>
      <c r="Q140" s="195"/>
    </row>
    <row r="141" spans="1:22" s="602" customFormat="1" ht="15.75" hidden="1" outlineLevel="1" thickBot="1">
      <c r="A141" s="620" t="s">
        <v>465</v>
      </c>
      <c r="B141" s="621" t="s">
        <v>405</v>
      </c>
      <c r="C141" s="621"/>
      <c r="D141" s="621"/>
      <c r="E141" s="621"/>
      <c r="F141" s="621"/>
      <c r="G141" s="621"/>
      <c r="H141" s="621"/>
      <c r="I141" s="621"/>
      <c r="J141" s="621"/>
      <c r="K141" s="621"/>
      <c r="L141" s="621"/>
      <c r="M141" s="621"/>
      <c r="N141" s="621"/>
      <c r="O141" s="621"/>
      <c r="P141" s="621">
        <v>2010</v>
      </c>
      <c r="Q141" s="621">
        <v>2019</v>
      </c>
    </row>
    <row r="142" spans="1:22" s="602" customFormat="1" ht="48" hidden="1" outlineLevel="1">
      <c r="A142" s="628" t="s">
        <v>473</v>
      </c>
      <c r="B142" s="629" t="s">
        <v>466</v>
      </c>
      <c r="C142" s="630"/>
      <c r="D142" s="630"/>
      <c r="E142" s="630"/>
      <c r="F142" s="630"/>
      <c r="G142" s="630"/>
      <c r="H142" s="630"/>
      <c r="I142" s="630"/>
      <c r="J142" s="630"/>
      <c r="K142" s="630"/>
      <c r="L142" s="630"/>
      <c r="M142" s="630"/>
      <c r="N142" s="630"/>
      <c r="O142" s="630"/>
      <c r="P142" s="631">
        <v>812</v>
      </c>
      <c r="Q142" s="631">
        <v>719</v>
      </c>
    </row>
    <row r="143" spans="1:22" s="602" customFormat="1" hidden="1" outlineLevel="1">
      <c r="A143" s="35" t="s">
        <v>682</v>
      </c>
    </row>
    <row r="144" spans="1:22" s="602" customFormat="1" hidden="1" outlineLevel="1">
      <c r="A144" s="35" t="s">
        <v>681</v>
      </c>
    </row>
    <row r="145" spans="1:20" s="602" customFormat="1" hidden="1" outlineLevel="1"/>
    <row r="146" spans="1:20" s="602" customFormat="1" hidden="1" outlineLevel="1">
      <c r="A146" s="619" t="s">
        <v>467</v>
      </c>
      <c r="B146" s="195"/>
      <c r="C146" s="195"/>
      <c r="D146" s="195"/>
      <c r="E146" s="195"/>
      <c r="F146" s="195"/>
      <c r="G146" s="195"/>
      <c r="H146" s="195"/>
      <c r="I146" s="195"/>
      <c r="J146" s="195"/>
      <c r="K146" s="195"/>
      <c r="L146" s="195"/>
      <c r="M146" s="195"/>
      <c r="N146" s="195"/>
      <c r="O146" s="195"/>
      <c r="P146" s="195"/>
      <c r="Q146" s="195"/>
      <c r="R146" s="195"/>
    </row>
    <row r="147" spans="1:20" s="602" customFormat="1" ht="15.75" hidden="1" outlineLevel="1" thickBot="1">
      <c r="A147" s="620" t="s">
        <v>465</v>
      </c>
      <c r="B147" s="621" t="s">
        <v>405</v>
      </c>
      <c r="C147" s="621"/>
      <c r="D147" s="621"/>
      <c r="E147" s="621"/>
      <c r="F147" s="621"/>
      <c r="G147" s="621"/>
      <c r="H147" s="621"/>
      <c r="I147" s="621"/>
      <c r="J147" s="621"/>
      <c r="K147" s="621"/>
      <c r="L147" s="621"/>
      <c r="M147" s="621"/>
      <c r="N147" s="621"/>
      <c r="O147" s="621"/>
      <c r="P147" s="621">
        <v>2010</v>
      </c>
      <c r="Q147" s="621">
        <v>2019</v>
      </c>
      <c r="R147" s="621">
        <v>2020</v>
      </c>
    </row>
    <row r="148" spans="1:20" s="602" customFormat="1" ht="30" hidden="1" outlineLevel="1">
      <c r="A148" s="603" t="s">
        <v>673</v>
      </c>
      <c r="B148" s="195" t="s">
        <v>468</v>
      </c>
      <c r="C148" s="591"/>
      <c r="D148" s="591"/>
      <c r="E148" s="591"/>
      <c r="F148" s="591"/>
      <c r="G148" s="591"/>
      <c r="H148" s="591"/>
      <c r="I148" s="591"/>
      <c r="J148" s="591"/>
      <c r="K148" s="591"/>
      <c r="L148" s="591"/>
      <c r="M148" s="591"/>
      <c r="N148" s="591"/>
      <c r="O148" s="591"/>
      <c r="P148" s="591">
        <v>156342</v>
      </c>
      <c r="Q148" s="591">
        <v>158767</v>
      </c>
      <c r="R148" s="591">
        <v>152308</v>
      </c>
    </row>
    <row r="149" spans="1:20" s="602" customFormat="1" hidden="1" outlineLevel="1">
      <c r="A149" s="603" t="s">
        <v>674</v>
      </c>
      <c r="B149" s="195"/>
      <c r="C149" s="195"/>
      <c r="D149" s="195"/>
      <c r="E149" s="195"/>
      <c r="F149" s="195"/>
      <c r="G149" s="195"/>
      <c r="H149" s="195"/>
      <c r="I149" s="195"/>
      <c r="J149" s="195"/>
      <c r="K149" s="195"/>
      <c r="L149" s="195"/>
      <c r="M149" s="195"/>
      <c r="N149" s="195"/>
      <c r="O149" s="195"/>
      <c r="P149" s="591"/>
      <c r="Q149" s="591"/>
      <c r="R149" s="591"/>
    </row>
    <row r="150" spans="1:20" s="602" customFormat="1" hidden="1" outlineLevel="1">
      <c r="A150" s="622" t="s">
        <v>675</v>
      </c>
      <c r="B150" s="195" t="s">
        <v>468</v>
      </c>
      <c r="C150" s="591"/>
      <c r="D150" s="591"/>
      <c r="E150" s="591"/>
      <c r="F150" s="591"/>
      <c r="G150" s="591"/>
      <c r="H150" s="591"/>
      <c r="I150" s="591"/>
      <c r="J150" s="591"/>
      <c r="K150" s="591"/>
      <c r="L150" s="591"/>
      <c r="M150" s="591"/>
      <c r="N150" s="591"/>
      <c r="O150" s="591"/>
      <c r="P150" s="591">
        <v>89212</v>
      </c>
      <c r="Q150" s="591">
        <v>78190</v>
      </c>
      <c r="R150" s="591">
        <v>71546</v>
      </c>
    </row>
    <row r="151" spans="1:20" s="602" customFormat="1" hidden="1" outlineLevel="1">
      <c r="A151" s="622" t="s">
        <v>676</v>
      </c>
      <c r="B151" s="195" t="s">
        <v>468</v>
      </c>
      <c r="C151" s="591"/>
      <c r="D151" s="591"/>
      <c r="E151" s="591"/>
      <c r="F151" s="591"/>
      <c r="G151" s="591"/>
      <c r="H151" s="591"/>
      <c r="I151" s="591"/>
      <c r="J151" s="591"/>
      <c r="K151" s="591"/>
      <c r="L151" s="591"/>
      <c r="M151" s="591"/>
      <c r="N151" s="591"/>
      <c r="O151" s="591"/>
      <c r="P151" s="591">
        <v>49460</v>
      </c>
      <c r="Q151" s="591">
        <v>41502</v>
      </c>
      <c r="R151" s="591">
        <v>37969</v>
      </c>
    </row>
    <row r="152" spans="1:20" s="602" customFormat="1" ht="30" hidden="1" outlineLevel="1">
      <c r="A152" s="623" t="s">
        <v>677</v>
      </c>
      <c r="B152" s="624" t="s">
        <v>469</v>
      </c>
      <c r="C152" s="624"/>
      <c r="D152" s="624"/>
      <c r="E152" s="624"/>
      <c r="F152" s="624"/>
      <c r="G152" s="624"/>
      <c r="H152" s="624"/>
      <c r="I152" s="624"/>
      <c r="J152" s="624"/>
      <c r="K152" s="624"/>
      <c r="L152" s="624"/>
      <c r="M152" s="624"/>
      <c r="N152" s="624"/>
      <c r="O152" s="624"/>
      <c r="P152" s="625">
        <f>(P150+P151)/P148</f>
        <v>0.8869785470315078</v>
      </c>
      <c r="Q152" s="625">
        <f>(Q150+Q151)/Q148</f>
        <v>0.75388462337891371</v>
      </c>
      <c r="R152" s="625">
        <f>(R150+R151)/R148</f>
        <v>0.71903642618903796</v>
      </c>
    </row>
    <row r="153" spans="1:20" s="602" customFormat="1" hidden="1" outlineLevel="1">
      <c r="A153" s="626" t="s">
        <v>678</v>
      </c>
      <c r="B153" s="195"/>
      <c r="C153" s="195"/>
      <c r="D153" s="195"/>
      <c r="E153" s="195"/>
      <c r="F153" s="195"/>
      <c r="G153" s="195"/>
      <c r="H153" s="195"/>
      <c r="I153" s="195"/>
      <c r="J153" s="195"/>
      <c r="K153" s="195"/>
      <c r="L153" s="195"/>
      <c r="M153" s="195"/>
      <c r="N153" s="195"/>
      <c r="O153" s="195"/>
      <c r="P153" s="195"/>
      <c r="Q153" s="195"/>
      <c r="R153" s="195"/>
    </row>
    <row r="154" spans="1:20" s="602" customFormat="1" hidden="1" outlineLevel="1">
      <c r="A154" s="626" t="s">
        <v>679</v>
      </c>
      <c r="B154" s="195"/>
      <c r="C154" s="195"/>
      <c r="D154" s="195"/>
      <c r="E154" s="195"/>
      <c r="F154" s="195"/>
      <c r="G154" s="195"/>
      <c r="H154" s="195"/>
      <c r="I154" s="195"/>
      <c r="J154" s="195"/>
      <c r="K154" s="195"/>
      <c r="L154" s="195"/>
      <c r="M154" s="195"/>
      <c r="N154" s="195"/>
      <c r="O154" s="195"/>
      <c r="P154" s="195"/>
      <c r="Q154" s="195"/>
      <c r="R154" s="195"/>
    </row>
    <row r="155" spans="1:20" s="602" customFormat="1" hidden="1" outlineLevel="1">
      <c r="A155" s="626" t="s">
        <v>680</v>
      </c>
      <c r="B155" s="195"/>
      <c r="C155" s="195"/>
      <c r="D155" s="195"/>
      <c r="E155" s="195"/>
      <c r="F155" s="195"/>
      <c r="G155" s="195"/>
      <c r="H155" s="195"/>
      <c r="I155" s="195"/>
      <c r="J155" s="195"/>
      <c r="K155" s="195"/>
      <c r="L155" s="195"/>
      <c r="M155" s="195"/>
      <c r="N155" s="195"/>
      <c r="O155" s="195"/>
      <c r="P155" s="195"/>
      <c r="Q155" s="195"/>
      <c r="R155" s="195"/>
    </row>
    <row r="156" spans="1:20" s="602" customFormat="1" hidden="1" outlineLevel="1"/>
    <row r="157" spans="1:20" s="602" customFormat="1" ht="48" hidden="1" outlineLevel="1">
      <c r="A157" s="603" t="s">
        <v>683</v>
      </c>
      <c r="B157" s="195"/>
      <c r="C157" s="591"/>
      <c r="D157" s="591"/>
      <c r="E157" s="591"/>
      <c r="F157" s="591"/>
      <c r="G157" s="591"/>
      <c r="H157" s="591"/>
      <c r="I157" s="591"/>
      <c r="J157" s="591"/>
      <c r="K157" s="591"/>
      <c r="L157" s="591"/>
      <c r="M157" s="591"/>
      <c r="N157" s="591"/>
      <c r="O157" s="591"/>
      <c r="P157" s="591"/>
      <c r="Q157" s="616">
        <f>Q159/Q158</f>
        <v>0.76327635130202609</v>
      </c>
    </row>
    <row r="158" spans="1:20" s="602" customFormat="1" ht="45" hidden="1" outlineLevel="1">
      <c r="A158" s="603" t="s">
        <v>684</v>
      </c>
      <c r="B158" s="195"/>
      <c r="C158" s="591"/>
      <c r="D158" s="591"/>
      <c r="E158" s="591"/>
      <c r="F158" s="591"/>
      <c r="G158" s="591"/>
      <c r="H158" s="591"/>
      <c r="I158" s="591"/>
      <c r="J158" s="591"/>
      <c r="K158" s="591"/>
      <c r="L158" s="591"/>
      <c r="M158" s="591"/>
      <c r="N158" s="591"/>
      <c r="O158" s="591"/>
      <c r="P158" s="591"/>
      <c r="Q158" s="627">
        <f>(Q152-P152)/P152</f>
        <v>-0.15005314852092611</v>
      </c>
    </row>
    <row r="159" spans="1:20" s="602" customFormat="1" ht="33" hidden="1" outlineLevel="1">
      <c r="A159" s="603" t="s">
        <v>685</v>
      </c>
      <c r="B159" s="195"/>
      <c r="C159" s="591"/>
      <c r="D159" s="591"/>
      <c r="E159" s="591"/>
      <c r="F159" s="591"/>
      <c r="G159" s="591"/>
      <c r="H159" s="591"/>
      <c r="I159" s="591"/>
      <c r="J159" s="591"/>
      <c r="K159" s="591"/>
      <c r="L159" s="591"/>
      <c r="M159" s="591"/>
      <c r="N159" s="591"/>
      <c r="O159" s="591"/>
      <c r="P159" s="591"/>
      <c r="Q159" s="627">
        <f>(Q142-P142)/P142</f>
        <v>-0.1145320197044335</v>
      </c>
      <c r="R159"/>
      <c r="S159"/>
      <c r="T159"/>
    </row>
    <row r="160" spans="1:20" s="602" customFormat="1" hidden="1" outlineLevel="1">
      <c r="P160"/>
      <c r="Q160"/>
      <c r="R160"/>
      <c r="S160"/>
      <c r="T160"/>
    </row>
    <row r="161" spans="1:20" s="602" customFormat="1" hidden="1" outlineLevel="1">
      <c r="A161" s="619" t="s">
        <v>686</v>
      </c>
      <c r="B161" s="195"/>
      <c r="C161" s="195"/>
      <c r="D161" s="195"/>
      <c r="E161" s="195"/>
      <c r="F161" s="195"/>
      <c r="G161" s="195"/>
      <c r="H161" s="195"/>
      <c r="I161" s="195"/>
      <c r="J161" s="195"/>
      <c r="K161" s="195"/>
      <c r="L161" s="195"/>
      <c r="M161" s="195"/>
      <c r="N161" s="195"/>
      <c r="O161" s="195"/>
      <c r="P161" s="195"/>
      <c r="Q161" s="195"/>
      <c r="R161" s="195"/>
      <c r="S161" s="195"/>
      <c r="T161" s="195"/>
    </row>
    <row r="162" spans="1:20" s="602" customFormat="1" ht="15.75" hidden="1" outlineLevel="1" thickBot="1">
      <c r="A162" s="620" t="s">
        <v>465</v>
      </c>
      <c r="B162" s="621"/>
      <c r="C162" s="621"/>
      <c r="D162" s="621"/>
      <c r="E162" s="621"/>
      <c r="F162" s="621"/>
      <c r="G162" s="621"/>
      <c r="H162" s="621"/>
      <c r="I162" s="621"/>
      <c r="J162" s="621"/>
      <c r="K162" s="621"/>
      <c r="L162" s="621"/>
      <c r="M162" s="621"/>
      <c r="N162" s="621"/>
      <c r="O162" s="621"/>
      <c r="P162" s="621">
        <v>2020</v>
      </c>
      <c r="Q162" s="621">
        <v>2025</v>
      </c>
      <c r="R162" s="621">
        <v>2030</v>
      </c>
      <c r="S162" s="621">
        <v>2035</v>
      </c>
      <c r="T162" s="621">
        <v>2040</v>
      </c>
    </row>
    <row r="163" spans="1:20" s="602" customFormat="1" ht="30" hidden="1" outlineLevel="1">
      <c r="A163" s="603" t="s">
        <v>673</v>
      </c>
      <c r="B163" s="195" t="s">
        <v>470</v>
      </c>
      <c r="C163" s="146"/>
      <c r="D163" s="146"/>
      <c r="E163" s="146"/>
      <c r="F163" s="146"/>
      <c r="G163" s="146"/>
      <c r="H163" s="146"/>
      <c r="I163" s="146"/>
      <c r="J163" s="146"/>
      <c r="K163" s="146"/>
      <c r="L163" s="146"/>
      <c r="M163" s="146"/>
      <c r="N163" s="146"/>
      <c r="O163" s="146"/>
      <c r="P163" s="146">
        <v>176.7</v>
      </c>
      <c r="Q163" s="146">
        <v>187.9</v>
      </c>
      <c r="R163" s="146">
        <v>201.2</v>
      </c>
      <c r="S163" s="146">
        <v>212.7</v>
      </c>
      <c r="T163" s="146">
        <v>225.8</v>
      </c>
    </row>
    <row r="164" spans="1:20" s="602" customFormat="1" hidden="1" outlineLevel="1">
      <c r="A164" s="603" t="s">
        <v>674</v>
      </c>
      <c r="B164" s="195"/>
      <c r="C164" s="195"/>
      <c r="D164" s="195"/>
      <c r="E164" s="195"/>
      <c r="F164" s="195"/>
      <c r="G164" s="195"/>
      <c r="H164" s="195"/>
      <c r="I164" s="195"/>
      <c r="J164" s="195"/>
      <c r="K164" s="195"/>
      <c r="L164" s="195"/>
      <c r="M164" s="195"/>
      <c r="N164" s="195"/>
      <c r="O164" s="195"/>
      <c r="P164" s="591"/>
      <c r="Q164" s="591"/>
      <c r="R164" s="591"/>
      <c r="S164" s="591"/>
      <c r="T164" s="591"/>
    </row>
    <row r="165" spans="1:20" s="602" customFormat="1" hidden="1" outlineLevel="1">
      <c r="A165" s="622" t="s">
        <v>675</v>
      </c>
      <c r="B165" s="195" t="s">
        <v>470</v>
      </c>
      <c r="C165" s="146"/>
      <c r="D165" s="146"/>
      <c r="E165" s="146"/>
      <c r="F165" s="146"/>
      <c r="G165" s="146"/>
      <c r="H165" s="146"/>
      <c r="I165" s="146"/>
      <c r="J165" s="146"/>
      <c r="K165" s="146"/>
      <c r="L165" s="146"/>
      <c r="M165" s="146"/>
      <c r="N165" s="146"/>
      <c r="O165" s="146"/>
      <c r="P165" s="146">
        <v>47</v>
      </c>
      <c r="Q165" s="146">
        <v>50.4</v>
      </c>
      <c r="R165" s="146">
        <v>49.9</v>
      </c>
      <c r="S165" s="146">
        <v>27.5</v>
      </c>
      <c r="T165" s="146">
        <v>17.3</v>
      </c>
    </row>
    <row r="166" spans="1:20" s="602" customFormat="1" hidden="1" outlineLevel="1">
      <c r="A166" s="622" t="s">
        <v>676</v>
      </c>
      <c r="B166" s="195" t="s">
        <v>470</v>
      </c>
      <c r="C166" s="146"/>
      <c r="D166" s="146"/>
      <c r="E166" s="146"/>
      <c r="F166" s="146"/>
      <c r="G166" s="146"/>
      <c r="H166" s="146"/>
      <c r="I166" s="146"/>
      <c r="J166" s="146"/>
      <c r="K166" s="146"/>
      <c r="L166" s="146"/>
      <c r="M166" s="146"/>
      <c r="N166" s="146"/>
      <c r="O166" s="146"/>
      <c r="P166" s="146">
        <v>75.400000000000006</v>
      </c>
      <c r="Q166" s="146">
        <v>72.3</v>
      </c>
      <c r="R166" s="146">
        <v>63.1</v>
      </c>
      <c r="S166" s="146">
        <v>53.2</v>
      </c>
      <c r="T166" s="146">
        <v>45.7</v>
      </c>
    </row>
    <row r="167" spans="1:20" s="602" customFormat="1" ht="30" hidden="1" outlineLevel="1">
      <c r="A167" s="623" t="s">
        <v>677</v>
      </c>
      <c r="B167" s="624" t="s">
        <v>469</v>
      </c>
      <c r="C167" s="624"/>
      <c r="D167" s="624"/>
      <c r="E167" s="624"/>
      <c r="F167" s="624"/>
      <c r="G167" s="624"/>
      <c r="H167" s="624"/>
      <c r="I167" s="624"/>
      <c r="J167" s="624"/>
      <c r="K167" s="624"/>
      <c r="L167" s="624"/>
      <c r="M167" s="624"/>
      <c r="N167" s="624"/>
      <c r="O167" s="624"/>
      <c r="P167" s="625">
        <f t="shared" ref="P167:T167" si="71">(P165+P166)/P163</f>
        <v>0.69269949066213932</v>
      </c>
      <c r="Q167" s="625">
        <f t="shared" si="71"/>
        <v>0.65300691857370929</v>
      </c>
      <c r="R167" s="625">
        <f t="shared" si="71"/>
        <v>0.56163021868787277</v>
      </c>
      <c r="S167" s="625">
        <f t="shared" si="71"/>
        <v>0.37940761636107195</v>
      </c>
      <c r="T167" s="625">
        <f t="shared" si="71"/>
        <v>0.27900797165633301</v>
      </c>
    </row>
    <row r="168" spans="1:20" s="602" customFormat="1" hidden="1" outlineLevel="1">
      <c r="A168" s="626" t="s">
        <v>687</v>
      </c>
      <c r="B168" s="195"/>
      <c r="C168" s="195"/>
      <c r="D168" s="195"/>
      <c r="E168" s="195"/>
      <c r="F168" s="195"/>
      <c r="G168" s="195"/>
      <c r="H168" s="195"/>
      <c r="I168" s="195"/>
      <c r="J168" s="195"/>
      <c r="K168" s="195"/>
      <c r="L168" s="195"/>
      <c r="M168" s="195"/>
      <c r="N168" s="195"/>
      <c r="O168" s="195"/>
      <c r="P168" s="195"/>
      <c r="Q168" s="195"/>
      <c r="R168" s="195"/>
      <c r="S168" s="195"/>
      <c r="T168" s="195"/>
    </row>
    <row r="169" spans="1:20" s="602" customFormat="1" hidden="1" outlineLevel="1">
      <c r="R169"/>
      <c r="S169"/>
      <c r="T169"/>
    </row>
    <row r="170" spans="1:20" s="602" customFormat="1" ht="18" hidden="1" outlineLevel="1">
      <c r="A170" s="619" t="s">
        <v>688</v>
      </c>
      <c r="B170" s="195"/>
      <c r="C170" s="195"/>
      <c r="D170" s="195"/>
      <c r="E170" s="195"/>
      <c r="F170" s="195"/>
      <c r="G170" s="195"/>
      <c r="H170" s="195"/>
      <c r="I170" s="195"/>
      <c r="J170" s="195"/>
      <c r="K170" s="195"/>
      <c r="L170" s="195"/>
      <c r="M170" s="195"/>
      <c r="N170" s="195"/>
      <c r="O170" s="195"/>
      <c r="P170" s="195"/>
      <c r="Q170" s="195"/>
      <c r="R170" s="195"/>
      <c r="S170" s="195"/>
      <c r="T170" s="195"/>
    </row>
    <row r="171" spans="1:20" s="602" customFormat="1" ht="15.75" hidden="1" outlineLevel="1" thickBot="1">
      <c r="A171" s="620" t="s">
        <v>465</v>
      </c>
      <c r="B171" s="621"/>
      <c r="C171" s="621"/>
      <c r="D171" s="621"/>
      <c r="E171" s="621"/>
      <c r="F171" s="621"/>
      <c r="G171" s="621"/>
      <c r="H171" s="621"/>
      <c r="I171" s="621"/>
      <c r="J171" s="621"/>
      <c r="K171" s="621"/>
      <c r="L171" s="621"/>
      <c r="M171" s="621"/>
      <c r="N171" s="621"/>
      <c r="O171" s="621"/>
      <c r="P171" s="621">
        <v>2020</v>
      </c>
      <c r="Q171" s="621">
        <v>2025</v>
      </c>
      <c r="R171" s="621">
        <v>2030</v>
      </c>
      <c r="S171" s="621">
        <v>2035</v>
      </c>
      <c r="T171" s="621">
        <v>2040</v>
      </c>
    </row>
    <row r="172" spans="1:20" s="602" customFormat="1" ht="45" hidden="1" outlineLevel="1">
      <c r="A172" s="632" t="s">
        <v>689</v>
      </c>
      <c r="B172" s="633"/>
      <c r="C172" s="633"/>
      <c r="D172" s="633"/>
      <c r="E172" s="633"/>
      <c r="F172" s="633"/>
      <c r="G172" s="633"/>
      <c r="H172" s="633"/>
      <c r="I172" s="633"/>
      <c r="J172" s="633"/>
      <c r="K172" s="633"/>
      <c r="L172" s="633"/>
      <c r="M172" s="633"/>
      <c r="N172" s="633"/>
      <c r="O172" s="633"/>
      <c r="P172" s="633">
        <f>(P167-$Q$152)/$Q$152</f>
        <v>-8.1159809895766807E-2</v>
      </c>
      <c r="Q172" s="633">
        <f>(Q167-$Q$152)/$Q$152</f>
        <v>-0.13381053502997603</v>
      </c>
      <c r="R172" s="633">
        <f t="shared" ref="R172:T172" si="72">(R167-$Q$152)/$Q$152</f>
        <v>-0.25501833931743556</v>
      </c>
      <c r="S172" s="633">
        <f t="shared" si="72"/>
        <v>-0.49672986476290548</v>
      </c>
      <c r="T172" s="633">
        <f t="shared" si="72"/>
        <v>-0.62990627079536621</v>
      </c>
    </row>
    <row r="173" spans="1:20" s="602" customFormat="1" ht="33" hidden="1" outlineLevel="1">
      <c r="A173" s="634" t="s">
        <v>690</v>
      </c>
      <c r="B173" s="635"/>
      <c r="C173" s="635"/>
      <c r="D173" s="635"/>
      <c r="E173" s="635"/>
      <c r="F173" s="635"/>
      <c r="G173" s="635"/>
      <c r="H173" s="635"/>
      <c r="I173" s="635"/>
      <c r="J173" s="635"/>
      <c r="K173" s="635"/>
      <c r="L173" s="635"/>
      <c r="M173" s="635"/>
      <c r="N173" s="635"/>
      <c r="O173" s="635"/>
      <c r="P173" s="635">
        <f>P172*$Q$157</f>
        <v>-6.1947363569606957E-2</v>
      </c>
      <c r="Q173" s="635">
        <f>Q172*$Q$157</f>
        <v>-0.10213441694345206</v>
      </c>
      <c r="R173" s="635">
        <f t="shared" ref="R173:T173" si="73">R172*$Q$157</f>
        <v>-0.19464946754931423</v>
      </c>
      <c r="S173" s="635">
        <f t="shared" si="73"/>
        <v>-0.37914215875897933</v>
      </c>
      <c r="T173" s="635">
        <f t="shared" si="73"/>
        <v>-0.48079256003495313</v>
      </c>
    </row>
    <row r="174" spans="1:20" s="602" customFormat="1" ht="33" hidden="1" outlineLevel="1">
      <c r="A174" s="636" t="s">
        <v>691</v>
      </c>
      <c r="B174" s="637"/>
      <c r="C174" s="637"/>
      <c r="D174" s="637"/>
      <c r="E174" s="637"/>
      <c r="F174" s="637"/>
      <c r="G174" s="637"/>
      <c r="H174" s="637"/>
      <c r="I174" s="637"/>
      <c r="J174" s="637"/>
      <c r="K174" s="637"/>
      <c r="L174" s="637"/>
      <c r="M174" s="637"/>
      <c r="N174" s="637"/>
      <c r="O174" s="637"/>
      <c r="P174" s="637">
        <f>100%+P173</f>
        <v>0.93805263643039305</v>
      </c>
      <c r="Q174" s="637">
        <f>100%+Q173</f>
        <v>0.89786558305654796</v>
      </c>
      <c r="R174" s="637">
        <f t="shared" ref="R174:T174" si="74">100%+R173</f>
        <v>0.80535053245068577</v>
      </c>
      <c r="S174" s="637">
        <f t="shared" si="74"/>
        <v>0.62085784124102061</v>
      </c>
      <c r="T174" s="637">
        <f t="shared" si="74"/>
        <v>0.51920743996504681</v>
      </c>
    </row>
    <row r="175" spans="1:20" s="602" customFormat="1" hidden="1" outlineLevel="1"/>
    <row r="176" spans="1:20" s="602" customFormat="1" ht="18" hidden="1" outlineLevel="1">
      <c r="A176" s="206" t="s">
        <v>692</v>
      </c>
    </row>
    <row r="177" spans="1:61" s="602" customFormat="1" hidden="1" outlineLevel="1">
      <c r="A177" s="609"/>
      <c r="B177" s="610"/>
      <c r="C177" s="610"/>
      <c r="D177" s="610"/>
      <c r="E177" s="610"/>
      <c r="F177" s="610"/>
      <c r="G177" s="610"/>
      <c r="H177" s="610"/>
      <c r="I177" s="610"/>
      <c r="J177" s="610"/>
      <c r="K177" s="610"/>
      <c r="L177" s="610"/>
      <c r="M177" s="610"/>
      <c r="N177" s="610"/>
      <c r="O177" s="610"/>
      <c r="P177" s="609"/>
      <c r="Q177" s="609"/>
      <c r="R177" s="609"/>
      <c r="S177" s="609">
        <v>2019</v>
      </c>
      <c r="T177" s="609">
        <f>S177+1</f>
        <v>2020</v>
      </c>
      <c r="U177" s="609">
        <f t="shared" ref="U177:BI177" si="75">T177+1</f>
        <v>2021</v>
      </c>
      <c r="V177" s="609">
        <f t="shared" si="75"/>
        <v>2022</v>
      </c>
      <c r="W177" s="609">
        <f t="shared" si="75"/>
        <v>2023</v>
      </c>
      <c r="X177" s="609">
        <f t="shared" si="75"/>
        <v>2024</v>
      </c>
      <c r="Y177" s="609">
        <f t="shared" si="75"/>
        <v>2025</v>
      </c>
      <c r="Z177" s="609">
        <f t="shared" si="75"/>
        <v>2026</v>
      </c>
      <c r="AA177" s="609">
        <f t="shared" si="75"/>
        <v>2027</v>
      </c>
      <c r="AB177" s="609">
        <f t="shared" si="75"/>
        <v>2028</v>
      </c>
      <c r="AC177" s="609">
        <f t="shared" si="75"/>
        <v>2029</v>
      </c>
      <c r="AD177" s="609">
        <f t="shared" si="75"/>
        <v>2030</v>
      </c>
      <c r="AE177" s="609">
        <f t="shared" si="75"/>
        <v>2031</v>
      </c>
      <c r="AF177" s="609">
        <f t="shared" si="75"/>
        <v>2032</v>
      </c>
      <c r="AG177" s="609">
        <f t="shared" si="75"/>
        <v>2033</v>
      </c>
      <c r="AH177" s="609">
        <f t="shared" si="75"/>
        <v>2034</v>
      </c>
      <c r="AI177" s="609">
        <f t="shared" si="75"/>
        <v>2035</v>
      </c>
      <c r="AJ177" s="609">
        <f t="shared" si="75"/>
        <v>2036</v>
      </c>
      <c r="AK177" s="609">
        <f t="shared" si="75"/>
        <v>2037</v>
      </c>
      <c r="AL177" s="609">
        <f t="shared" si="75"/>
        <v>2038</v>
      </c>
      <c r="AM177" s="609">
        <f t="shared" si="75"/>
        <v>2039</v>
      </c>
      <c r="AN177" s="609">
        <f t="shared" si="75"/>
        <v>2040</v>
      </c>
      <c r="AO177" s="609">
        <f t="shared" si="75"/>
        <v>2041</v>
      </c>
      <c r="AP177" s="609">
        <f t="shared" si="75"/>
        <v>2042</v>
      </c>
      <c r="AQ177" s="609">
        <f t="shared" si="75"/>
        <v>2043</v>
      </c>
      <c r="AR177" s="609">
        <f t="shared" si="75"/>
        <v>2044</v>
      </c>
      <c r="AS177" s="609">
        <f t="shared" si="75"/>
        <v>2045</v>
      </c>
      <c r="AT177" s="609">
        <f t="shared" si="75"/>
        <v>2046</v>
      </c>
      <c r="AU177" s="609">
        <f t="shared" si="75"/>
        <v>2047</v>
      </c>
      <c r="AV177" s="609">
        <f t="shared" si="75"/>
        <v>2048</v>
      </c>
      <c r="AW177" s="609">
        <f t="shared" si="75"/>
        <v>2049</v>
      </c>
      <c r="AX177" s="609">
        <f t="shared" si="75"/>
        <v>2050</v>
      </c>
      <c r="AY177" s="609">
        <f t="shared" si="75"/>
        <v>2051</v>
      </c>
      <c r="AZ177" s="609">
        <f t="shared" si="75"/>
        <v>2052</v>
      </c>
      <c r="BA177" s="609">
        <f t="shared" si="75"/>
        <v>2053</v>
      </c>
      <c r="BB177" s="609">
        <f t="shared" si="75"/>
        <v>2054</v>
      </c>
      <c r="BC177" s="609">
        <f t="shared" si="75"/>
        <v>2055</v>
      </c>
      <c r="BD177" s="609">
        <f t="shared" si="75"/>
        <v>2056</v>
      </c>
      <c r="BE177" s="609">
        <f t="shared" si="75"/>
        <v>2057</v>
      </c>
      <c r="BF177" s="609">
        <f t="shared" si="75"/>
        <v>2058</v>
      </c>
      <c r="BG177" s="609">
        <f t="shared" si="75"/>
        <v>2059</v>
      </c>
      <c r="BH177" s="609">
        <f t="shared" si="75"/>
        <v>2060</v>
      </c>
      <c r="BI177" s="609">
        <f t="shared" si="75"/>
        <v>2061</v>
      </c>
    </row>
    <row r="178" spans="1:61" s="602" customFormat="1" ht="48" hidden="1" outlineLevel="1">
      <c r="A178" s="638" t="s">
        <v>473</v>
      </c>
      <c r="B178" s="639" t="s">
        <v>412</v>
      </c>
      <c r="C178" s="640"/>
      <c r="D178" s="640"/>
      <c r="E178" s="640"/>
      <c r="F178" s="640"/>
      <c r="G178" s="640"/>
      <c r="H178" s="640"/>
      <c r="I178" s="640"/>
      <c r="J178" s="640"/>
      <c r="K178" s="640"/>
      <c r="L178" s="640"/>
      <c r="M178" s="640"/>
      <c r="N178" s="640"/>
      <c r="O178" s="640"/>
      <c r="P178" s="640"/>
      <c r="Q178" s="640"/>
      <c r="R178" s="640"/>
      <c r="S178" s="641">
        <f>Q142</f>
        <v>719</v>
      </c>
      <c r="T178" s="642">
        <f>$S178*$P$174</f>
        <v>674.45984559345266</v>
      </c>
      <c r="U178" s="640">
        <f>T178+($Y178-$T178)/($Y$177-$T$177)</f>
        <v>668.68094731829376</v>
      </c>
      <c r="V178" s="640">
        <f t="shared" ref="V178:X178" si="76">U178+($Y178-$T178)/($Y$177-$T$177)</f>
        <v>662.90204904313487</v>
      </c>
      <c r="W178" s="640">
        <f t="shared" si="76"/>
        <v>657.12315076797597</v>
      </c>
      <c r="X178" s="640">
        <f t="shared" si="76"/>
        <v>651.34425249281708</v>
      </c>
      <c r="Y178" s="642">
        <f>$S178*$Q$174</f>
        <v>645.56535421765795</v>
      </c>
      <c r="Z178" s="640">
        <f>Y178+($AD178-$Y178)/($AD$177-$Y$177)</f>
        <v>632.26168994053501</v>
      </c>
      <c r="AA178" s="640">
        <f>Z178+($AD178-$Y178)/($AD$177-$Y$177)</f>
        <v>618.95802566341206</v>
      </c>
      <c r="AB178" s="640">
        <f t="shared" ref="AB178:AC178" si="77">AA178+($AD178-$Y178)/($AD$177-$Y$177)</f>
        <v>605.65436138628911</v>
      </c>
      <c r="AC178" s="640">
        <f t="shared" si="77"/>
        <v>592.35069710916616</v>
      </c>
      <c r="AD178" s="642">
        <f>$S178*$R$174</f>
        <v>579.0470328320431</v>
      </c>
      <c r="AE178" s="640">
        <f t="shared" ref="AE178" si="78">AD178+($AI178-$AD178)/($AI$177-$AD$177)</f>
        <v>552.51698383609323</v>
      </c>
      <c r="AF178" s="640">
        <f>AE178+($AI178-$AD178)/($AI$177-$AD$177)</f>
        <v>525.98693484014336</v>
      </c>
      <c r="AG178" s="640">
        <f t="shared" ref="AG178:AH178" si="79">AF178+($AI178-$AD178)/($AI$177-$AD$177)</f>
        <v>499.45688584419349</v>
      </c>
      <c r="AH178" s="640">
        <f t="shared" si="79"/>
        <v>472.92683684824362</v>
      </c>
      <c r="AI178" s="642">
        <f>$S178*$S$174</f>
        <v>446.39678785229381</v>
      </c>
      <c r="AJ178" s="640">
        <f t="shared" ref="AJ178" si="80">AI178+($AN178-$AI178)/($AN$177-$AI$177)</f>
        <v>431.77946014880877</v>
      </c>
      <c r="AK178" s="640">
        <f>AJ178+($AN178-$AI178)/($AN$177-$AI$177)</f>
        <v>417.16213244532372</v>
      </c>
      <c r="AL178" s="640">
        <f t="shared" ref="AL178:AM178" si="81">AK178+($AN178-$AI178)/($AN$177-$AI$177)</f>
        <v>402.54480474183867</v>
      </c>
      <c r="AM178" s="640">
        <f t="shared" si="81"/>
        <v>387.92747703835363</v>
      </c>
      <c r="AN178" s="642">
        <f>$S178*$T$174</f>
        <v>373.31014933486864</v>
      </c>
      <c r="AO178" s="640">
        <f>AN178</f>
        <v>373.31014933486864</v>
      </c>
      <c r="AP178" s="640">
        <f t="shared" ref="AP178:BI178" si="82">AO178</f>
        <v>373.31014933486864</v>
      </c>
      <c r="AQ178" s="640">
        <f t="shared" si="82"/>
        <v>373.31014933486864</v>
      </c>
      <c r="AR178" s="640">
        <f t="shared" si="82"/>
        <v>373.31014933486864</v>
      </c>
      <c r="AS178" s="640">
        <f t="shared" si="82"/>
        <v>373.31014933486864</v>
      </c>
      <c r="AT178" s="640">
        <f t="shared" si="82"/>
        <v>373.31014933486864</v>
      </c>
      <c r="AU178" s="640">
        <f t="shared" si="82"/>
        <v>373.31014933486864</v>
      </c>
      <c r="AV178" s="640">
        <f t="shared" si="82"/>
        <v>373.31014933486864</v>
      </c>
      <c r="AW178" s="640">
        <f t="shared" si="82"/>
        <v>373.31014933486864</v>
      </c>
      <c r="AX178" s="640">
        <f t="shared" si="82"/>
        <v>373.31014933486864</v>
      </c>
      <c r="AY178" s="640">
        <f t="shared" si="82"/>
        <v>373.31014933486864</v>
      </c>
      <c r="AZ178" s="640">
        <f t="shared" si="82"/>
        <v>373.31014933486864</v>
      </c>
      <c r="BA178" s="640">
        <f t="shared" si="82"/>
        <v>373.31014933486864</v>
      </c>
      <c r="BB178" s="640">
        <f t="shared" si="82"/>
        <v>373.31014933486864</v>
      </c>
      <c r="BC178" s="640">
        <f t="shared" si="82"/>
        <v>373.31014933486864</v>
      </c>
      <c r="BD178" s="640">
        <f t="shared" si="82"/>
        <v>373.31014933486864</v>
      </c>
      <c r="BE178" s="640">
        <f t="shared" si="82"/>
        <v>373.31014933486864</v>
      </c>
      <c r="BF178" s="640">
        <f t="shared" si="82"/>
        <v>373.31014933486864</v>
      </c>
      <c r="BG178" s="640">
        <f t="shared" si="82"/>
        <v>373.31014933486864</v>
      </c>
      <c r="BH178" s="640">
        <f t="shared" si="82"/>
        <v>373.31014933486864</v>
      </c>
      <c r="BI178" s="640">
        <f t="shared" si="82"/>
        <v>373.31014933486864</v>
      </c>
    </row>
    <row r="179" spans="1:61" s="613" customFormat="1" hidden="1" outlineLevel="1">
      <c r="A179" s="149" t="s">
        <v>521</v>
      </c>
      <c r="B179" s="643"/>
      <c r="C179" s="643"/>
      <c r="D179" s="643"/>
      <c r="E179" s="643"/>
      <c r="F179" s="643"/>
      <c r="G179" s="643"/>
      <c r="H179" s="643"/>
      <c r="I179" s="643"/>
      <c r="J179" s="643"/>
      <c r="K179" s="643"/>
      <c r="L179" s="643"/>
      <c r="M179" s="643"/>
      <c r="N179" s="643"/>
      <c r="O179" s="643"/>
      <c r="P179" s="643"/>
      <c r="Q179" s="643"/>
      <c r="R179" s="643"/>
      <c r="S179" s="666"/>
      <c r="T179" s="643">
        <f>(T$178-S$178)/S$178</f>
        <v>-6.1947363569606874E-2</v>
      </c>
      <c r="U179" s="643">
        <f t="shared" ref="U179:BI179" si="83">(U$178-T$178)/T$178</f>
        <v>-8.5681872878200505E-3</v>
      </c>
      <c r="V179" s="643">
        <f t="shared" si="83"/>
        <v>-8.6422355808623407E-3</v>
      </c>
      <c r="W179" s="643">
        <f t="shared" si="83"/>
        <v>-8.7175749169887736E-3</v>
      </c>
      <c r="X179" s="643">
        <f t="shared" si="83"/>
        <v>-8.7942393574250589E-3</v>
      </c>
      <c r="Y179" s="643">
        <f t="shared" si="83"/>
        <v>-8.872264172198021E-3</v>
      </c>
      <c r="Z179" s="643">
        <f t="shared" si="83"/>
        <v>-2.0607773001147616E-2</v>
      </c>
      <c r="AA179" s="643">
        <f t="shared" si="83"/>
        <v>-2.1041389172850523E-2</v>
      </c>
      <c r="AB179" s="643">
        <f t="shared" si="83"/>
        <v>-2.1493645328960399E-2</v>
      </c>
      <c r="AC179" s="643">
        <f t="shared" si="83"/>
        <v>-2.1965769794296604E-2</v>
      </c>
      <c r="AD179" s="643">
        <f t="shared" si="83"/>
        <v>-2.2459101241964586E-2</v>
      </c>
      <c r="AE179" s="643">
        <f t="shared" si="83"/>
        <v>-4.5816742840723797E-2</v>
      </c>
      <c r="AF179" s="643">
        <f t="shared" si="83"/>
        <v>-4.8016712195439286E-2</v>
      </c>
      <c r="AG179" s="643">
        <f t="shared" si="83"/>
        <v>-5.0438608335419619E-2</v>
      </c>
      <c r="AH179" s="643">
        <f t="shared" si="83"/>
        <v>-5.3117796045815187E-2</v>
      </c>
      <c r="AI179" s="643">
        <f t="shared" si="83"/>
        <v>-5.6097575626614264E-2</v>
      </c>
      <c r="AJ179" s="643">
        <f t="shared" si="83"/>
        <v>-3.2745145353334636E-2</v>
      </c>
      <c r="AK179" s="643">
        <f t="shared" si="83"/>
        <v>-3.3853689331232478E-2</v>
      </c>
      <c r="AL179" s="643">
        <f t="shared" si="83"/>
        <v>-3.5039919893498236E-2</v>
      </c>
      <c r="AM179" s="643">
        <f t="shared" si="83"/>
        <v>-3.6312299975798913E-2</v>
      </c>
      <c r="AN179" s="643">
        <f t="shared" si="83"/>
        <v>-3.7680568066695112E-2</v>
      </c>
      <c r="AO179" s="643">
        <f t="shared" si="83"/>
        <v>0</v>
      </c>
      <c r="AP179" s="643">
        <f t="shared" si="83"/>
        <v>0</v>
      </c>
      <c r="AQ179" s="643">
        <f t="shared" si="83"/>
        <v>0</v>
      </c>
      <c r="AR179" s="643">
        <f t="shared" si="83"/>
        <v>0</v>
      </c>
      <c r="AS179" s="643">
        <f t="shared" si="83"/>
        <v>0</v>
      </c>
      <c r="AT179" s="643">
        <f t="shared" si="83"/>
        <v>0</v>
      </c>
      <c r="AU179" s="643">
        <f t="shared" si="83"/>
        <v>0</v>
      </c>
      <c r="AV179" s="643">
        <f t="shared" si="83"/>
        <v>0</v>
      </c>
      <c r="AW179" s="643">
        <f t="shared" si="83"/>
        <v>0</v>
      </c>
      <c r="AX179" s="643">
        <f t="shared" si="83"/>
        <v>0</v>
      </c>
      <c r="AY179" s="643">
        <f t="shared" si="83"/>
        <v>0</v>
      </c>
      <c r="AZ179" s="643">
        <f t="shared" si="83"/>
        <v>0</v>
      </c>
      <c r="BA179" s="643">
        <f t="shared" si="83"/>
        <v>0</v>
      </c>
      <c r="BB179" s="643">
        <f t="shared" si="83"/>
        <v>0</v>
      </c>
      <c r="BC179" s="643">
        <f t="shared" si="83"/>
        <v>0</v>
      </c>
      <c r="BD179" s="643">
        <f t="shared" si="83"/>
        <v>0</v>
      </c>
      <c r="BE179" s="643">
        <f t="shared" si="83"/>
        <v>0</v>
      </c>
      <c r="BF179" s="643">
        <f t="shared" si="83"/>
        <v>0</v>
      </c>
      <c r="BG179" s="643">
        <f t="shared" si="83"/>
        <v>0</v>
      </c>
      <c r="BH179" s="643">
        <f t="shared" si="83"/>
        <v>0</v>
      </c>
      <c r="BI179" s="643">
        <f t="shared" si="83"/>
        <v>0</v>
      </c>
    </row>
    <row r="180" spans="1:61" s="602" customFormat="1" hidden="1" outlineLevel="1">
      <c r="A180" s="149" t="s">
        <v>902</v>
      </c>
      <c r="B180" s="643"/>
      <c r="C180" s="643"/>
      <c r="D180" s="643"/>
      <c r="E180" s="643"/>
      <c r="F180" s="643"/>
      <c r="G180" s="643"/>
      <c r="H180" s="643"/>
      <c r="I180" s="643"/>
      <c r="J180" s="643"/>
      <c r="K180" s="643"/>
      <c r="L180" s="643"/>
      <c r="M180" s="643"/>
      <c r="N180" s="643"/>
      <c r="O180" s="643"/>
      <c r="P180" s="643"/>
      <c r="Q180" s="643"/>
      <c r="R180" s="643"/>
      <c r="S180" s="643">
        <f t="shared" ref="S180" si="84">(S$178-$S$178)/$S$178</f>
        <v>0</v>
      </c>
      <c r="T180" s="643">
        <f>(T$178-$S$178)/$S$178</f>
        <v>-6.1947363569606874E-2</v>
      </c>
      <c r="U180" s="643">
        <f t="shared" ref="U180:BI180" si="85">(U$178-$S$178)/$S$178</f>
        <v>-6.9984774244375852E-2</v>
      </c>
      <c r="V180" s="643">
        <f t="shared" si="85"/>
        <v>-7.8022184919144838E-2</v>
      </c>
      <c r="W180" s="643">
        <f t="shared" si="85"/>
        <v>-8.605959559391381E-2</v>
      </c>
      <c r="X180" s="643">
        <f t="shared" si="85"/>
        <v>-9.4097006268682781E-2</v>
      </c>
      <c r="Y180" s="643">
        <f t="shared" si="85"/>
        <v>-0.10213441694345209</v>
      </c>
      <c r="Z180" s="643">
        <f t="shared" si="85"/>
        <v>-0.12063742706462446</v>
      </c>
      <c r="AA180" s="643">
        <f t="shared" si="85"/>
        <v>-0.13914043718579686</v>
      </c>
      <c r="AB180" s="643">
        <f t="shared" si="85"/>
        <v>-0.15764344730696925</v>
      </c>
      <c r="AC180" s="643">
        <f t="shared" si="85"/>
        <v>-0.17614645742814164</v>
      </c>
      <c r="AD180" s="643">
        <f t="shared" si="85"/>
        <v>-0.1946494675493142</v>
      </c>
      <c r="AE180" s="643">
        <f t="shared" si="85"/>
        <v>-0.23154800579124724</v>
      </c>
      <c r="AF180" s="643">
        <f t="shared" si="85"/>
        <v>-0.2684465440331803</v>
      </c>
      <c r="AG180" s="643">
        <f t="shared" si="85"/>
        <v>-0.30534508227511337</v>
      </c>
      <c r="AH180" s="643">
        <f t="shared" si="85"/>
        <v>-0.34224362051704643</v>
      </c>
      <c r="AI180" s="643">
        <f t="shared" si="85"/>
        <v>-0.37914215875897939</v>
      </c>
      <c r="AJ180" s="643">
        <f t="shared" si="85"/>
        <v>-0.39947223901417417</v>
      </c>
      <c r="AK180" s="643">
        <f t="shared" si="85"/>
        <v>-0.41980231926936895</v>
      </c>
      <c r="AL180" s="643">
        <f t="shared" si="85"/>
        <v>-0.44013239952456373</v>
      </c>
      <c r="AM180" s="643">
        <f t="shared" si="85"/>
        <v>-0.46046247977975852</v>
      </c>
      <c r="AN180" s="643">
        <f t="shared" si="85"/>
        <v>-0.48079256003495319</v>
      </c>
      <c r="AO180" s="643">
        <f t="shared" si="85"/>
        <v>-0.48079256003495319</v>
      </c>
      <c r="AP180" s="643">
        <f t="shared" si="85"/>
        <v>-0.48079256003495319</v>
      </c>
      <c r="AQ180" s="643">
        <f t="shared" si="85"/>
        <v>-0.48079256003495319</v>
      </c>
      <c r="AR180" s="643">
        <f t="shared" si="85"/>
        <v>-0.48079256003495319</v>
      </c>
      <c r="AS180" s="643">
        <f t="shared" si="85"/>
        <v>-0.48079256003495319</v>
      </c>
      <c r="AT180" s="643">
        <f t="shared" si="85"/>
        <v>-0.48079256003495319</v>
      </c>
      <c r="AU180" s="643">
        <f t="shared" si="85"/>
        <v>-0.48079256003495319</v>
      </c>
      <c r="AV180" s="643">
        <f t="shared" si="85"/>
        <v>-0.48079256003495319</v>
      </c>
      <c r="AW180" s="643">
        <f t="shared" si="85"/>
        <v>-0.48079256003495319</v>
      </c>
      <c r="AX180" s="643">
        <f t="shared" si="85"/>
        <v>-0.48079256003495319</v>
      </c>
      <c r="AY180" s="643">
        <f t="shared" si="85"/>
        <v>-0.48079256003495319</v>
      </c>
      <c r="AZ180" s="643">
        <f t="shared" si="85"/>
        <v>-0.48079256003495319</v>
      </c>
      <c r="BA180" s="643">
        <f t="shared" si="85"/>
        <v>-0.48079256003495319</v>
      </c>
      <c r="BB180" s="643">
        <f t="shared" si="85"/>
        <v>-0.48079256003495319</v>
      </c>
      <c r="BC180" s="643">
        <f t="shared" si="85"/>
        <v>-0.48079256003495319</v>
      </c>
      <c r="BD180" s="643">
        <f t="shared" si="85"/>
        <v>-0.48079256003495319</v>
      </c>
      <c r="BE180" s="643">
        <f t="shared" si="85"/>
        <v>-0.48079256003495319</v>
      </c>
      <c r="BF180" s="643">
        <f t="shared" si="85"/>
        <v>-0.48079256003495319</v>
      </c>
      <c r="BG180" s="643">
        <f t="shared" si="85"/>
        <v>-0.48079256003495319</v>
      </c>
      <c r="BH180" s="643">
        <f t="shared" si="85"/>
        <v>-0.48079256003495319</v>
      </c>
      <c r="BI180" s="643">
        <f t="shared" si="85"/>
        <v>-0.48079256003495319</v>
      </c>
    </row>
    <row r="181" spans="1:61" s="602" customFormat="1" hidden="1" outlineLevel="1">
      <c r="A181" s="35" t="s">
        <v>696</v>
      </c>
      <c r="B181" s="163"/>
      <c r="AD181"/>
    </row>
    <row r="182" spans="1:61" s="607" customFormat="1" hidden="1" outlineLevel="1">
      <c r="A182" s="612" t="s">
        <v>693</v>
      </c>
      <c r="B182" s="163"/>
    </row>
    <row r="183" spans="1:61" s="607" customFormat="1" hidden="1" outlineLevel="1">
      <c r="A183" s="612" t="s">
        <v>694</v>
      </c>
      <c r="B183" s="163"/>
    </row>
    <row r="184" spans="1:61" s="607" customFormat="1" hidden="1" outlineLevel="1">
      <c r="A184" s="612" t="s">
        <v>695</v>
      </c>
      <c r="B184" s="163"/>
    </row>
    <row r="185" spans="1:61" s="607" customFormat="1" hidden="1" outlineLevel="1">
      <c r="A185" s="163"/>
      <c r="B185" s="163"/>
    </row>
    <row r="186" spans="1:61" hidden="1" outlineLevel="1">
      <c r="A186" s="133" t="s">
        <v>82</v>
      </c>
      <c r="B186" s="330"/>
      <c r="C186" s="330"/>
      <c r="D186" s="330"/>
      <c r="E186" s="330"/>
      <c r="F186" s="330"/>
      <c r="G186" s="330"/>
      <c r="H186" s="330"/>
      <c r="I186" s="330"/>
      <c r="J186" s="330"/>
      <c r="K186" s="330"/>
      <c r="L186" s="330"/>
      <c r="M186" s="330"/>
      <c r="N186" s="330"/>
      <c r="O186" s="330"/>
      <c r="P186" s="330"/>
      <c r="Q186" s="330"/>
    </row>
    <row r="187" spans="1:61" hidden="1" outlineLevel="1">
      <c r="A187" s="136" t="s">
        <v>83</v>
      </c>
      <c r="B187" s="330"/>
      <c r="C187" s="330"/>
      <c r="D187" s="330"/>
      <c r="E187" s="330"/>
      <c r="F187" s="330"/>
      <c r="G187" s="330"/>
      <c r="H187" s="330"/>
      <c r="I187" s="330"/>
      <c r="J187" s="330"/>
      <c r="K187" s="330"/>
      <c r="L187" s="330"/>
      <c r="M187" s="330"/>
      <c r="N187" s="330"/>
      <c r="O187" s="330"/>
      <c r="P187" s="330"/>
      <c r="Q187" s="330"/>
    </row>
    <row r="188" spans="1:61" ht="78.75" hidden="1" customHeight="1" outlineLevel="1" thickBot="1">
      <c r="A188" s="332" t="s">
        <v>697</v>
      </c>
      <c r="B188" s="139"/>
      <c r="C188" s="139"/>
      <c r="D188" s="139"/>
      <c r="E188" s="139"/>
      <c r="F188" s="139"/>
      <c r="G188" s="139"/>
      <c r="H188" s="139"/>
      <c r="I188" s="139"/>
      <c r="J188" s="139"/>
      <c r="K188" s="139"/>
      <c r="L188" s="139"/>
      <c r="M188" s="139"/>
      <c r="N188" s="139"/>
      <c r="O188" s="139"/>
      <c r="P188" s="332" t="s">
        <v>118</v>
      </c>
      <c r="Q188" s="217" t="s">
        <v>698</v>
      </c>
    </row>
    <row r="189" spans="1:61" ht="30" hidden="1" outlineLevel="1">
      <c r="A189" s="328" t="s">
        <v>67</v>
      </c>
      <c r="B189" s="328" t="s">
        <v>68</v>
      </c>
      <c r="C189" s="330"/>
      <c r="D189" s="330"/>
      <c r="E189" s="330"/>
      <c r="F189" s="330"/>
      <c r="G189" s="330"/>
      <c r="H189" s="330"/>
      <c r="I189" s="330"/>
      <c r="J189" s="330"/>
      <c r="K189" s="330"/>
      <c r="L189" s="330"/>
      <c r="M189" s="330"/>
      <c r="N189" s="330"/>
      <c r="O189" s="330"/>
      <c r="P189" s="134">
        <f>'VOC eksploatacja samochody'!P237</f>
        <v>1.81</v>
      </c>
      <c r="Q189" s="102">
        <v>128</v>
      </c>
    </row>
    <row r="190" spans="1:61" ht="30" hidden="1" outlineLevel="1">
      <c r="A190" s="328" t="str">
        <f>A189</f>
        <v>Samochód osobowy, hybrydowy benzyna +elektryczny</v>
      </c>
      <c r="B190" s="328" t="s">
        <v>69</v>
      </c>
      <c r="C190" s="330"/>
      <c r="D190" s="330"/>
      <c r="E190" s="330"/>
      <c r="F190" s="330"/>
      <c r="G190" s="330"/>
      <c r="H190" s="330"/>
      <c r="I190" s="330"/>
      <c r="J190" s="330"/>
      <c r="K190" s="330"/>
      <c r="L190" s="330"/>
      <c r="M190" s="330"/>
      <c r="N190" s="330"/>
      <c r="O190" s="330"/>
      <c r="P190" s="134">
        <f>'VOC eksploatacja samochody'!P238</f>
        <v>2.37</v>
      </c>
      <c r="Q190" s="102">
        <v>168</v>
      </c>
    </row>
    <row r="191" spans="1:61" ht="30" hidden="1" outlineLevel="1">
      <c r="A191" s="328" t="s">
        <v>70</v>
      </c>
      <c r="B191" s="328" t="s">
        <v>68</v>
      </c>
      <c r="C191" s="330"/>
      <c r="D191" s="330"/>
      <c r="E191" s="330"/>
      <c r="F191" s="330"/>
      <c r="G191" s="330"/>
      <c r="H191" s="330"/>
      <c r="I191" s="330"/>
      <c r="J191" s="330"/>
      <c r="K191" s="330"/>
      <c r="L191" s="330"/>
      <c r="M191" s="330"/>
      <c r="N191" s="330"/>
      <c r="O191" s="330"/>
      <c r="P191" s="134">
        <f>'VOC eksploatacja samochody'!P239</f>
        <v>0.84</v>
      </c>
      <c r="Q191" s="102">
        <v>0</v>
      </c>
    </row>
    <row r="192" spans="1:61" ht="30" hidden="1" outlineLevel="1">
      <c r="A192" s="328" t="s">
        <v>70</v>
      </c>
      <c r="B192" s="328" t="s">
        <v>69</v>
      </c>
      <c r="C192" s="330"/>
      <c r="D192" s="330"/>
      <c r="E192" s="330"/>
      <c r="F192" s="330"/>
      <c r="G192" s="330"/>
      <c r="H192" s="330"/>
      <c r="I192" s="330"/>
      <c r="J192" s="330"/>
      <c r="K192" s="330"/>
      <c r="L192" s="330"/>
      <c r="M192" s="330"/>
      <c r="N192" s="330"/>
      <c r="O192" s="330"/>
      <c r="P192" s="134">
        <f>'VOC eksploatacja samochody'!P240</f>
        <v>0.73</v>
      </c>
      <c r="Q192" s="102">
        <v>0</v>
      </c>
    </row>
    <row r="193" spans="1:61" ht="45" hidden="1" outlineLevel="1">
      <c r="A193" s="328" t="s">
        <v>72</v>
      </c>
      <c r="B193" s="328" t="s">
        <v>68</v>
      </c>
      <c r="C193" s="330"/>
      <c r="D193" s="330"/>
      <c r="E193" s="330"/>
      <c r="F193" s="330"/>
      <c r="G193" s="330"/>
      <c r="H193" s="330"/>
      <c r="I193" s="330"/>
      <c r="J193" s="330"/>
      <c r="K193" s="330"/>
      <c r="L193" s="330"/>
      <c r="M193" s="330"/>
      <c r="N193" s="330"/>
      <c r="O193" s="330"/>
      <c r="P193" s="134">
        <f>'VOC eksploatacja samochody'!P241</f>
        <v>11.42</v>
      </c>
      <c r="Q193" s="102">
        <v>809</v>
      </c>
    </row>
    <row r="194" spans="1:61" ht="30" hidden="1" outlineLevel="1">
      <c r="A194" s="329" t="s">
        <v>73</v>
      </c>
      <c r="B194" s="329" t="s">
        <v>68</v>
      </c>
      <c r="C194" s="331"/>
      <c r="D194" s="331"/>
      <c r="E194" s="331"/>
      <c r="F194" s="331"/>
      <c r="G194" s="331"/>
      <c r="H194" s="331"/>
      <c r="I194" s="331"/>
      <c r="J194" s="331"/>
      <c r="K194" s="331"/>
      <c r="L194" s="331"/>
      <c r="M194" s="331"/>
      <c r="N194" s="331"/>
      <c r="O194" s="331"/>
      <c r="P194" s="141">
        <f>'VOC eksploatacja samochody'!P242</f>
        <v>7.83</v>
      </c>
      <c r="Q194" s="142">
        <v>0</v>
      </c>
    </row>
    <row r="195" spans="1:61" hidden="1" outlineLevel="1">
      <c r="A195" s="145" t="s">
        <v>699</v>
      </c>
      <c r="B195" s="163"/>
      <c r="C195" s="163"/>
      <c r="D195" s="163"/>
      <c r="E195" s="163"/>
      <c r="F195" s="163"/>
      <c r="G195" s="163"/>
      <c r="H195" s="163"/>
      <c r="I195" s="163"/>
      <c r="J195" s="163"/>
      <c r="K195" s="163"/>
      <c r="L195" s="163"/>
      <c r="M195" s="163"/>
      <c r="N195" s="163"/>
      <c r="O195" s="163"/>
      <c r="P195" s="164"/>
      <c r="Q195" s="165"/>
    </row>
    <row r="196" spans="1:61" hidden="1" outlineLevel="1">
      <c r="A196" s="35" t="s">
        <v>700</v>
      </c>
      <c r="B196" s="330"/>
      <c r="C196" s="330"/>
      <c r="D196" s="330"/>
      <c r="E196" s="330"/>
      <c r="F196" s="330"/>
      <c r="G196" s="330"/>
      <c r="H196" s="330"/>
      <c r="I196" s="330"/>
      <c r="J196" s="330"/>
      <c r="K196" s="330"/>
      <c r="L196" s="330"/>
      <c r="M196" s="330"/>
      <c r="N196" s="330"/>
      <c r="O196" s="330"/>
      <c r="P196" s="330"/>
      <c r="Q196" s="330"/>
    </row>
    <row r="197" spans="1:61" hidden="1" outlineLevel="1">
      <c r="A197" s="749" t="s">
        <v>701</v>
      </c>
      <c r="B197" s="749"/>
      <c r="C197" s="749"/>
      <c r="D197" s="749"/>
      <c r="E197" s="749"/>
      <c r="F197" s="749"/>
      <c r="G197" s="749"/>
      <c r="H197" s="749"/>
      <c r="I197" s="749"/>
      <c r="J197" s="749"/>
      <c r="K197" s="749"/>
      <c r="L197" s="749"/>
      <c r="M197" s="749"/>
      <c r="N197" s="749"/>
      <c r="O197" s="749"/>
      <c r="P197" s="749"/>
      <c r="Q197" s="749"/>
      <c r="R197" s="749"/>
      <c r="S197" s="749"/>
      <c r="T197" s="749"/>
      <c r="U197" s="749"/>
      <c r="V197" s="749"/>
    </row>
    <row r="198" spans="1:61" s="613" customFormat="1" hidden="1" outlineLevel="1">
      <c r="A198" s="749"/>
      <c r="B198" s="749"/>
      <c r="C198" s="749"/>
      <c r="D198" s="749"/>
      <c r="E198" s="749"/>
      <c r="F198" s="749"/>
      <c r="G198" s="749"/>
      <c r="H198" s="749"/>
      <c r="I198" s="749"/>
      <c r="J198" s="749"/>
      <c r="K198" s="749"/>
      <c r="L198" s="749"/>
      <c r="M198" s="749"/>
      <c r="N198" s="749"/>
      <c r="O198" s="749"/>
      <c r="P198" s="749"/>
      <c r="Q198" s="749"/>
      <c r="R198" s="749"/>
      <c r="S198" s="749"/>
      <c r="T198" s="749"/>
      <c r="U198" s="749"/>
      <c r="V198" s="749"/>
    </row>
    <row r="199" spans="1:61" hidden="1" outlineLevel="1">
      <c r="A199" s="330"/>
      <c r="B199" s="330"/>
      <c r="C199" s="330"/>
      <c r="D199" s="330"/>
      <c r="E199" s="330"/>
      <c r="F199" s="330"/>
      <c r="G199" s="330"/>
      <c r="H199" s="330"/>
      <c r="I199" s="330"/>
      <c r="J199" s="330"/>
      <c r="K199" s="330"/>
      <c r="L199" s="330"/>
      <c r="M199" s="330"/>
      <c r="N199" s="330"/>
      <c r="O199" s="330"/>
      <c r="P199" s="330"/>
      <c r="Q199" s="330"/>
    </row>
    <row r="200" spans="1:61" hidden="1" outlineLevel="1">
      <c r="A200" s="330" t="s">
        <v>50</v>
      </c>
      <c r="B200" s="156">
        <f>B201/(B202*B203)</f>
        <v>0.27777777777777779</v>
      </c>
      <c r="C200" s="330"/>
      <c r="D200" s="330"/>
      <c r="E200" s="330"/>
      <c r="F200" s="330"/>
      <c r="G200" s="330"/>
      <c r="H200" s="330"/>
      <c r="I200" s="330"/>
      <c r="J200" s="330"/>
      <c r="K200" s="330"/>
      <c r="L200" s="330"/>
      <c r="M200" s="330"/>
      <c r="N200" s="330"/>
      <c r="O200" s="330"/>
      <c r="P200" s="330"/>
      <c r="Q200" s="330"/>
    </row>
    <row r="201" spans="1:61" hidden="1" outlineLevel="1">
      <c r="A201" s="330"/>
      <c r="B201" s="102">
        <f>10^6</f>
        <v>1000000</v>
      </c>
      <c r="C201" s="330"/>
      <c r="D201" s="330"/>
      <c r="E201" s="330"/>
      <c r="F201" s="330"/>
      <c r="G201" s="330"/>
      <c r="H201" s="330"/>
      <c r="I201" s="330"/>
      <c r="J201" s="330"/>
      <c r="K201" s="330"/>
      <c r="L201" s="330"/>
      <c r="M201" s="330"/>
      <c r="N201" s="330"/>
      <c r="O201" s="330"/>
      <c r="P201" s="330" t="s">
        <v>62</v>
      </c>
      <c r="Q201" s="330"/>
    </row>
    <row r="202" spans="1:61" hidden="1" outlineLevel="1">
      <c r="A202" s="330"/>
      <c r="B202" s="102">
        <f>10^3</f>
        <v>1000</v>
      </c>
      <c r="C202" s="330"/>
      <c r="D202" s="330"/>
      <c r="E202" s="330"/>
      <c r="F202" s="330"/>
      <c r="G202" s="330"/>
      <c r="H202" s="330"/>
      <c r="I202" s="330"/>
      <c r="J202" s="330"/>
      <c r="K202" s="330"/>
      <c r="L202" s="330"/>
      <c r="M202" s="330"/>
      <c r="N202" s="330"/>
      <c r="O202" s="330"/>
      <c r="P202" s="330" t="s">
        <v>63</v>
      </c>
      <c r="Q202" s="330"/>
    </row>
    <row r="203" spans="1:61" hidden="1" outlineLevel="1">
      <c r="A203" s="330"/>
      <c r="B203" s="102">
        <f>(60*60)</f>
        <v>3600</v>
      </c>
      <c r="C203" s="330"/>
      <c r="D203" s="330"/>
      <c r="E203" s="330"/>
      <c r="F203" s="330"/>
      <c r="G203" s="330"/>
      <c r="H203" s="330"/>
      <c r="I203" s="330"/>
      <c r="J203" s="330"/>
      <c r="K203" s="330"/>
      <c r="L203" s="330"/>
      <c r="M203" s="330"/>
      <c r="N203" s="330"/>
      <c r="O203" s="330"/>
      <c r="P203" s="330" t="s">
        <v>64</v>
      </c>
      <c r="Q203" s="330"/>
    </row>
    <row r="204" spans="1:61" collapsed="1"/>
    <row r="205" spans="1:61" s="613" customFormat="1" ht="18">
      <c r="A205" s="1" t="s">
        <v>524</v>
      </c>
    </row>
    <row r="206" spans="1:61" s="613" customFormat="1">
      <c r="A206" s="609"/>
      <c r="B206" s="610"/>
      <c r="C206" s="610"/>
      <c r="D206" s="610"/>
      <c r="E206" s="610"/>
      <c r="F206" s="610"/>
      <c r="G206" s="610"/>
      <c r="H206" s="610"/>
      <c r="I206" s="610"/>
      <c r="J206" s="610"/>
      <c r="K206" s="610"/>
      <c r="L206" s="610"/>
      <c r="M206" s="610"/>
      <c r="N206" s="610"/>
      <c r="O206" s="610"/>
      <c r="P206" s="609"/>
      <c r="Q206" s="609"/>
      <c r="R206" s="609"/>
      <c r="S206" s="609">
        <v>2019</v>
      </c>
      <c r="T206" s="609">
        <f>S206+1</f>
        <v>2020</v>
      </c>
      <c r="U206" s="609">
        <f t="shared" ref="U206" si="86">T206+1</f>
        <v>2021</v>
      </c>
      <c r="V206" s="609">
        <f t="shared" ref="V206" si="87">U206+1</f>
        <v>2022</v>
      </c>
      <c r="W206" s="609">
        <f t="shared" ref="W206" si="88">V206+1</f>
        <v>2023</v>
      </c>
      <c r="X206" s="609">
        <f t="shared" ref="X206" si="89">W206+1</f>
        <v>2024</v>
      </c>
      <c r="Y206" s="609">
        <f t="shared" ref="Y206" si="90">X206+1</f>
        <v>2025</v>
      </c>
      <c r="Z206" s="609">
        <f t="shared" ref="Z206" si="91">Y206+1</f>
        <v>2026</v>
      </c>
      <c r="AA206" s="609">
        <f t="shared" ref="AA206" si="92">Z206+1</f>
        <v>2027</v>
      </c>
      <c r="AB206" s="609">
        <f t="shared" ref="AB206" si="93">AA206+1</f>
        <v>2028</v>
      </c>
      <c r="AC206" s="609">
        <f t="shared" ref="AC206" si="94">AB206+1</f>
        <v>2029</v>
      </c>
      <c r="AD206" s="609">
        <f t="shared" ref="AD206" si="95">AC206+1</f>
        <v>2030</v>
      </c>
      <c r="AE206" s="609">
        <f t="shared" ref="AE206" si="96">AD206+1</f>
        <v>2031</v>
      </c>
      <c r="AF206" s="609">
        <f t="shared" ref="AF206" si="97">AE206+1</f>
        <v>2032</v>
      </c>
      <c r="AG206" s="609">
        <f t="shared" ref="AG206" si="98">AF206+1</f>
        <v>2033</v>
      </c>
      <c r="AH206" s="609">
        <f t="shared" ref="AH206" si="99">AG206+1</f>
        <v>2034</v>
      </c>
      <c r="AI206" s="609">
        <f t="shared" ref="AI206" si="100">AH206+1</f>
        <v>2035</v>
      </c>
      <c r="AJ206" s="609">
        <f t="shared" ref="AJ206" si="101">AI206+1</f>
        <v>2036</v>
      </c>
      <c r="AK206" s="609">
        <f t="shared" ref="AK206" si="102">AJ206+1</f>
        <v>2037</v>
      </c>
      <c r="AL206" s="609">
        <f t="shared" ref="AL206" si="103">AK206+1</f>
        <v>2038</v>
      </c>
      <c r="AM206" s="609">
        <f t="shared" ref="AM206" si="104">AL206+1</f>
        <v>2039</v>
      </c>
      <c r="AN206" s="609">
        <f t="shared" ref="AN206" si="105">AM206+1</f>
        <v>2040</v>
      </c>
      <c r="AO206" s="609">
        <f t="shared" ref="AO206" si="106">AN206+1</f>
        <v>2041</v>
      </c>
      <c r="AP206" s="609">
        <f t="shared" ref="AP206" si="107">AO206+1</f>
        <v>2042</v>
      </c>
      <c r="AQ206" s="609">
        <f t="shared" ref="AQ206" si="108">AP206+1</f>
        <v>2043</v>
      </c>
      <c r="AR206" s="609">
        <f t="shared" ref="AR206" si="109">AQ206+1</f>
        <v>2044</v>
      </c>
      <c r="AS206" s="609">
        <f t="shared" ref="AS206" si="110">AR206+1</f>
        <v>2045</v>
      </c>
      <c r="AT206" s="609">
        <f t="shared" ref="AT206" si="111">AS206+1</f>
        <v>2046</v>
      </c>
      <c r="AU206" s="609">
        <f t="shared" ref="AU206" si="112">AT206+1</f>
        <v>2047</v>
      </c>
      <c r="AV206" s="609">
        <f t="shared" ref="AV206" si="113">AU206+1</f>
        <v>2048</v>
      </c>
      <c r="AW206" s="609">
        <f t="shared" ref="AW206" si="114">AV206+1</f>
        <v>2049</v>
      </c>
      <c r="AX206" s="609">
        <f t="shared" ref="AX206" si="115">AW206+1</f>
        <v>2050</v>
      </c>
      <c r="AY206" s="609">
        <f t="shared" ref="AY206" si="116">AX206+1</f>
        <v>2051</v>
      </c>
      <c r="AZ206" s="609">
        <f t="shared" ref="AZ206" si="117">AY206+1</f>
        <v>2052</v>
      </c>
      <c r="BA206" s="609">
        <f t="shared" ref="BA206" si="118">AZ206+1</f>
        <v>2053</v>
      </c>
      <c r="BB206" s="609">
        <f t="shared" ref="BB206" si="119">BA206+1</f>
        <v>2054</v>
      </c>
      <c r="BC206" s="609">
        <f t="shared" ref="BC206" si="120">BB206+1</f>
        <v>2055</v>
      </c>
      <c r="BD206" s="609">
        <f t="shared" ref="BD206" si="121">BC206+1</f>
        <v>2056</v>
      </c>
      <c r="BE206" s="609">
        <f t="shared" ref="BE206" si="122">BD206+1</f>
        <v>2057</v>
      </c>
      <c r="BF206" s="609">
        <f t="shared" ref="BF206" si="123">BE206+1</f>
        <v>2058</v>
      </c>
      <c r="BG206" s="609">
        <f t="shared" ref="BG206" si="124">BF206+1</f>
        <v>2059</v>
      </c>
      <c r="BH206" s="609">
        <f t="shared" ref="BH206" si="125">BG206+1</f>
        <v>2060</v>
      </c>
      <c r="BI206" s="609">
        <f t="shared" ref="BI206" si="126">BH206+1</f>
        <v>2061</v>
      </c>
    </row>
    <row r="207" spans="1:61" s="613" customFormat="1" ht="33">
      <c r="A207" s="665" t="s">
        <v>523</v>
      </c>
      <c r="B207" s="533"/>
      <c r="C207" s="533"/>
      <c r="D207" s="533"/>
      <c r="E207" s="533"/>
      <c r="F207" s="533"/>
      <c r="G207" s="533"/>
      <c r="H207" s="533"/>
      <c r="I207" s="533"/>
      <c r="J207" s="533"/>
      <c r="K207" s="533"/>
      <c r="L207" s="533"/>
      <c r="M207" s="533"/>
      <c r="N207" s="533"/>
      <c r="O207" s="533"/>
      <c r="P207" s="533"/>
      <c r="Q207" s="533"/>
      <c r="R207" s="533"/>
      <c r="S207" s="644"/>
      <c r="T207" s="533">
        <f>T$179</f>
        <v>-6.1947363569606874E-2</v>
      </c>
      <c r="U207" s="533">
        <f t="shared" ref="U207:BI207" si="127">U$179</f>
        <v>-8.5681872878200505E-3</v>
      </c>
      <c r="V207" s="533">
        <f t="shared" si="127"/>
        <v>-8.6422355808623407E-3</v>
      </c>
      <c r="W207" s="533">
        <f t="shared" si="127"/>
        <v>-8.7175749169887736E-3</v>
      </c>
      <c r="X207" s="533">
        <f t="shared" si="127"/>
        <v>-8.7942393574250589E-3</v>
      </c>
      <c r="Y207" s="533">
        <f t="shared" si="127"/>
        <v>-8.872264172198021E-3</v>
      </c>
      <c r="Z207" s="533">
        <f t="shared" si="127"/>
        <v>-2.0607773001147616E-2</v>
      </c>
      <c r="AA207" s="533">
        <f t="shared" si="127"/>
        <v>-2.1041389172850523E-2</v>
      </c>
      <c r="AB207" s="533">
        <f t="shared" si="127"/>
        <v>-2.1493645328960399E-2</v>
      </c>
      <c r="AC207" s="533">
        <f t="shared" si="127"/>
        <v>-2.1965769794296604E-2</v>
      </c>
      <c r="AD207" s="533">
        <f t="shared" si="127"/>
        <v>-2.2459101241964586E-2</v>
      </c>
      <c r="AE207" s="533">
        <f t="shared" si="127"/>
        <v>-4.5816742840723797E-2</v>
      </c>
      <c r="AF207" s="533">
        <f t="shared" si="127"/>
        <v>-4.8016712195439286E-2</v>
      </c>
      <c r="AG207" s="533">
        <f t="shared" si="127"/>
        <v>-5.0438608335419619E-2</v>
      </c>
      <c r="AH207" s="533">
        <f t="shared" si="127"/>
        <v>-5.3117796045815187E-2</v>
      </c>
      <c r="AI207" s="533">
        <f t="shared" si="127"/>
        <v>-5.6097575626614264E-2</v>
      </c>
      <c r="AJ207" s="533">
        <f t="shared" si="127"/>
        <v>-3.2745145353334636E-2</v>
      </c>
      <c r="AK207" s="533">
        <f t="shared" si="127"/>
        <v>-3.3853689331232478E-2</v>
      </c>
      <c r="AL207" s="533">
        <f t="shared" si="127"/>
        <v>-3.5039919893498236E-2</v>
      </c>
      <c r="AM207" s="533">
        <f t="shared" si="127"/>
        <v>-3.6312299975798913E-2</v>
      </c>
      <c r="AN207" s="533">
        <f t="shared" si="127"/>
        <v>-3.7680568066695112E-2</v>
      </c>
      <c r="AO207" s="533">
        <f t="shared" si="127"/>
        <v>0</v>
      </c>
      <c r="AP207" s="533">
        <f t="shared" si="127"/>
        <v>0</v>
      </c>
      <c r="AQ207" s="533">
        <f t="shared" si="127"/>
        <v>0</v>
      </c>
      <c r="AR207" s="533">
        <f t="shared" si="127"/>
        <v>0</v>
      </c>
      <c r="AS207" s="533">
        <f t="shared" si="127"/>
        <v>0</v>
      </c>
      <c r="AT207" s="533">
        <f t="shared" si="127"/>
        <v>0</v>
      </c>
      <c r="AU207" s="533">
        <f t="shared" si="127"/>
        <v>0</v>
      </c>
      <c r="AV207" s="533">
        <f t="shared" si="127"/>
        <v>0</v>
      </c>
      <c r="AW207" s="533">
        <f t="shared" si="127"/>
        <v>0</v>
      </c>
      <c r="AX207" s="533">
        <f t="shared" si="127"/>
        <v>0</v>
      </c>
      <c r="AY207" s="533">
        <f t="shared" si="127"/>
        <v>0</v>
      </c>
      <c r="AZ207" s="533">
        <f t="shared" si="127"/>
        <v>0</v>
      </c>
      <c r="BA207" s="533">
        <f t="shared" si="127"/>
        <v>0</v>
      </c>
      <c r="BB207" s="533">
        <f t="shared" si="127"/>
        <v>0</v>
      </c>
      <c r="BC207" s="533">
        <f t="shared" si="127"/>
        <v>0</v>
      </c>
      <c r="BD207" s="533">
        <f t="shared" si="127"/>
        <v>0</v>
      </c>
      <c r="BE207" s="533">
        <f t="shared" si="127"/>
        <v>0</v>
      </c>
      <c r="BF207" s="533">
        <f t="shared" si="127"/>
        <v>0</v>
      </c>
      <c r="BG207" s="533">
        <f t="shared" si="127"/>
        <v>0</v>
      </c>
      <c r="BH207" s="533">
        <f t="shared" si="127"/>
        <v>0</v>
      </c>
      <c r="BI207" s="533">
        <f t="shared" si="127"/>
        <v>0</v>
      </c>
    </row>
    <row r="208" spans="1:61" s="613" customFormat="1" ht="48">
      <c r="A208" s="665" t="s">
        <v>522</v>
      </c>
      <c r="B208" s="533"/>
      <c r="C208" s="533"/>
      <c r="D208" s="533"/>
      <c r="E208" s="533"/>
      <c r="F208" s="533"/>
      <c r="G208" s="533"/>
      <c r="H208" s="533"/>
      <c r="I208" s="533"/>
      <c r="J208" s="533"/>
      <c r="K208" s="533"/>
      <c r="L208" s="533"/>
      <c r="M208" s="533"/>
      <c r="N208" s="533"/>
      <c r="O208" s="533"/>
      <c r="P208" s="533"/>
      <c r="Q208" s="533"/>
      <c r="R208" s="533"/>
      <c r="S208" s="533">
        <f>S$180</f>
        <v>0</v>
      </c>
      <c r="T208" s="533">
        <f t="shared" ref="T208:BI208" si="128">T$180</f>
        <v>-6.1947363569606874E-2</v>
      </c>
      <c r="U208" s="533">
        <f t="shared" si="128"/>
        <v>-6.9984774244375852E-2</v>
      </c>
      <c r="V208" s="533">
        <f t="shared" si="128"/>
        <v>-7.8022184919144838E-2</v>
      </c>
      <c r="W208" s="533">
        <f t="shared" si="128"/>
        <v>-8.605959559391381E-2</v>
      </c>
      <c r="X208" s="533">
        <f t="shared" si="128"/>
        <v>-9.4097006268682781E-2</v>
      </c>
      <c r="Y208" s="533">
        <f t="shared" si="128"/>
        <v>-0.10213441694345209</v>
      </c>
      <c r="Z208" s="533">
        <f t="shared" si="128"/>
        <v>-0.12063742706462446</v>
      </c>
      <c r="AA208" s="533">
        <f t="shared" si="128"/>
        <v>-0.13914043718579686</v>
      </c>
      <c r="AB208" s="533">
        <f t="shared" si="128"/>
        <v>-0.15764344730696925</v>
      </c>
      <c r="AC208" s="533">
        <f t="shared" si="128"/>
        <v>-0.17614645742814164</v>
      </c>
      <c r="AD208" s="533">
        <f t="shared" si="128"/>
        <v>-0.1946494675493142</v>
      </c>
      <c r="AE208" s="533">
        <f t="shared" si="128"/>
        <v>-0.23154800579124724</v>
      </c>
      <c r="AF208" s="533">
        <f t="shared" si="128"/>
        <v>-0.2684465440331803</v>
      </c>
      <c r="AG208" s="533">
        <f t="shared" si="128"/>
        <v>-0.30534508227511337</v>
      </c>
      <c r="AH208" s="533">
        <f t="shared" si="128"/>
        <v>-0.34224362051704643</v>
      </c>
      <c r="AI208" s="533">
        <f t="shared" si="128"/>
        <v>-0.37914215875897939</v>
      </c>
      <c r="AJ208" s="533">
        <f t="shared" si="128"/>
        <v>-0.39947223901417417</v>
      </c>
      <c r="AK208" s="533">
        <f t="shared" si="128"/>
        <v>-0.41980231926936895</v>
      </c>
      <c r="AL208" s="533">
        <f t="shared" si="128"/>
        <v>-0.44013239952456373</v>
      </c>
      <c r="AM208" s="533">
        <f t="shared" si="128"/>
        <v>-0.46046247977975852</v>
      </c>
      <c r="AN208" s="533">
        <f t="shared" si="128"/>
        <v>-0.48079256003495319</v>
      </c>
      <c r="AO208" s="533">
        <f t="shared" si="128"/>
        <v>-0.48079256003495319</v>
      </c>
      <c r="AP208" s="533">
        <f t="shared" si="128"/>
        <v>-0.48079256003495319</v>
      </c>
      <c r="AQ208" s="533">
        <f t="shared" si="128"/>
        <v>-0.48079256003495319</v>
      </c>
      <c r="AR208" s="533">
        <f t="shared" si="128"/>
        <v>-0.48079256003495319</v>
      </c>
      <c r="AS208" s="533">
        <f t="shared" si="128"/>
        <v>-0.48079256003495319</v>
      </c>
      <c r="AT208" s="533">
        <f t="shared" si="128"/>
        <v>-0.48079256003495319</v>
      </c>
      <c r="AU208" s="533">
        <f t="shared" si="128"/>
        <v>-0.48079256003495319</v>
      </c>
      <c r="AV208" s="533">
        <f t="shared" si="128"/>
        <v>-0.48079256003495319</v>
      </c>
      <c r="AW208" s="533">
        <f t="shared" si="128"/>
        <v>-0.48079256003495319</v>
      </c>
      <c r="AX208" s="533">
        <f t="shared" si="128"/>
        <v>-0.48079256003495319</v>
      </c>
      <c r="AY208" s="533">
        <f t="shared" si="128"/>
        <v>-0.48079256003495319</v>
      </c>
      <c r="AZ208" s="533">
        <f t="shared" si="128"/>
        <v>-0.48079256003495319</v>
      </c>
      <c r="BA208" s="533">
        <f t="shared" si="128"/>
        <v>-0.48079256003495319</v>
      </c>
      <c r="BB208" s="533">
        <f t="shared" si="128"/>
        <v>-0.48079256003495319</v>
      </c>
      <c r="BC208" s="533">
        <f t="shared" si="128"/>
        <v>-0.48079256003495319</v>
      </c>
      <c r="BD208" s="533">
        <f t="shared" si="128"/>
        <v>-0.48079256003495319</v>
      </c>
      <c r="BE208" s="533">
        <f t="shared" si="128"/>
        <v>-0.48079256003495319</v>
      </c>
      <c r="BF208" s="533">
        <f t="shared" si="128"/>
        <v>-0.48079256003495319</v>
      </c>
      <c r="BG208" s="533">
        <f t="shared" si="128"/>
        <v>-0.48079256003495319</v>
      </c>
      <c r="BH208" s="533">
        <f t="shared" si="128"/>
        <v>-0.48079256003495319</v>
      </c>
      <c r="BI208" s="533">
        <f t="shared" si="128"/>
        <v>-0.48079256003495319</v>
      </c>
    </row>
    <row r="209" spans="1:61" s="613" customFormat="1"/>
    <row r="210" spans="1:61" ht="18">
      <c r="A210" s="1" t="s">
        <v>81</v>
      </c>
      <c r="B210" s="330"/>
      <c r="C210" s="330"/>
      <c r="D210" s="330"/>
      <c r="E210" s="330"/>
      <c r="F210" s="330"/>
      <c r="G210" s="330"/>
      <c r="H210" s="330"/>
      <c r="I210" s="330"/>
      <c r="J210" s="330"/>
      <c r="K210" s="330"/>
      <c r="L210" s="330"/>
      <c r="M210" s="330"/>
      <c r="N210" s="330"/>
      <c r="O210" s="330"/>
      <c r="P210" s="330"/>
      <c r="Q210" s="330"/>
    </row>
    <row r="211" spans="1:61" s="613" customFormat="1">
      <c r="A211" s="749" t="s">
        <v>702</v>
      </c>
      <c r="B211" s="749"/>
      <c r="C211" s="749"/>
      <c r="D211" s="749"/>
      <c r="E211" s="749"/>
      <c r="F211" s="749"/>
      <c r="G211" s="749"/>
      <c r="H211" s="749"/>
      <c r="I211" s="749"/>
      <c r="J211" s="749"/>
      <c r="K211" s="749"/>
      <c r="L211" s="749"/>
      <c r="M211" s="749"/>
      <c r="N211" s="749"/>
      <c r="O211" s="749"/>
      <c r="P211" s="749"/>
      <c r="Q211" s="749"/>
      <c r="R211" s="749"/>
      <c r="S211" s="749"/>
      <c r="T211" s="749"/>
      <c r="U211" s="749"/>
      <c r="V211" s="749"/>
    </row>
    <row r="212" spans="1:61" s="613" customFormat="1">
      <c r="A212" s="749"/>
      <c r="B212" s="749"/>
      <c r="C212" s="749"/>
      <c r="D212" s="749"/>
      <c r="E212" s="749"/>
      <c r="F212" s="749"/>
      <c r="G212" s="749"/>
      <c r="H212" s="749"/>
      <c r="I212" s="749"/>
      <c r="J212" s="749"/>
      <c r="K212" s="749"/>
      <c r="L212" s="749"/>
      <c r="M212" s="749"/>
      <c r="N212" s="749"/>
      <c r="O212" s="749"/>
      <c r="P212" s="749"/>
      <c r="Q212" s="749"/>
      <c r="R212" s="749"/>
      <c r="S212" s="749"/>
      <c r="T212" s="749"/>
      <c r="U212" s="749"/>
      <c r="V212" s="749"/>
    </row>
    <row r="213" spans="1:61" s="607" customFormat="1" ht="30" customHeight="1">
      <c r="A213" s="783" t="s">
        <v>697</v>
      </c>
      <c r="B213" s="611"/>
      <c r="C213" s="611"/>
      <c r="D213" s="611"/>
      <c r="E213" s="611"/>
      <c r="F213" s="611"/>
      <c r="G213" s="611"/>
      <c r="H213" s="611"/>
      <c r="I213" s="611"/>
      <c r="J213" s="611"/>
      <c r="K213" s="611"/>
      <c r="L213" s="611"/>
      <c r="M213" s="611"/>
      <c r="N213" s="611"/>
      <c r="O213" s="611"/>
      <c r="P213" s="783" t="s">
        <v>66</v>
      </c>
      <c r="Q213" s="785"/>
      <c r="R213" s="611"/>
      <c r="S213" s="611" t="s">
        <v>703</v>
      </c>
      <c r="T213" s="611"/>
      <c r="U213" s="611"/>
      <c r="V213" s="611"/>
      <c r="W213" s="611"/>
      <c r="X213" s="611"/>
      <c r="Y213" s="611"/>
      <c r="Z213" s="611"/>
      <c r="AA213" s="611"/>
      <c r="AB213" s="611"/>
      <c r="AC213" s="611"/>
      <c r="AD213" s="611"/>
      <c r="AE213" s="611"/>
      <c r="AF213" s="611"/>
      <c r="AG213" s="611"/>
      <c r="AH213" s="611"/>
      <c r="AI213" s="611"/>
      <c r="AJ213" s="611"/>
      <c r="AK213" s="611"/>
      <c r="AL213" s="611"/>
      <c r="AM213" s="611"/>
      <c r="AN213" s="611"/>
      <c r="AO213" s="611"/>
      <c r="AP213" s="611"/>
      <c r="AQ213" s="611"/>
      <c r="AR213" s="611"/>
      <c r="AS213" s="611"/>
      <c r="AT213" s="611"/>
      <c r="AU213" s="611"/>
      <c r="AV213" s="611"/>
      <c r="AW213" s="611"/>
      <c r="AX213" s="611"/>
      <c r="AY213" s="611"/>
      <c r="AZ213" s="611"/>
      <c r="BA213" s="611"/>
      <c r="BB213" s="611"/>
      <c r="BC213" s="611"/>
      <c r="BD213" s="611"/>
      <c r="BE213" s="611"/>
      <c r="BF213" s="611"/>
      <c r="BG213" s="611"/>
      <c r="BH213" s="611"/>
      <c r="BI213" s="611"/>
    </row>
    <row r="214" spans="1:61" ht="30" customHeight="1" thickBot="1">
      <c r="A214" s="784"/>
      <c r="B214" s="604"/>
      <c r="C214" s="604"/>
      <c r="D214" s="604"/>
      <c r="E214" s="604"/>
      <c r="F214" s="604"/>
      <c r="G214" s="604"/>
      <c r="H214" s="604"/>
      <c r="I214" s="604"/>
      <c r="J214" s="604"/>
      <c r="K214" s="604"/>
      <c r="L214" s="604"/>
      <c r="M214" s="604"/>
      <c r="N214" s="604"/>
      <c r="O214" s="604"/>
      <c r="P214" s="784"/>
      <c r="Q214" s="786"/>
      <c r="R214" s="333"/>
      <c r="S214" s="604">
        <v>2019</v>
      </c>
      <c r="T214" s="604">
        <f>S214+1</f>
        <v>2020</v>
      </c>
      <c r="U214" s="604">
        <f t="shared" ref="U214" si="129">T214+1</f>
        <v>2021</v>
      </c>
      <c r="V214" s="604">
        <f t="shared" ref="V214" si="130">U214+1</f>
        <v>2022</v>
      </c>
      <c r="W214" s="604">
        <f t="shared" ref="W214" si="131">V214+1</f>
        <v>2023</v>
      </c>
      <c r="X214" s="604">
        <f t="shared" ref="X214" si="132">W214+1</f>
        <v>2024</v>
      </c>
      <c r="Y214" s="604">
        <f t="shared" ref="Y214" si="133">X214+1</f>
        <v>2025</v>
      </c>
      <c r="Z214" s="604">
        <f t="shared" ref="Z214" si="134">Y214+1</f>
        <v>2026</v>
      </c>
      <c r="AA214" s="604">
        <f t="shared" ref="AA214" si="135">Z214+1</f>
        <v>2027</v>
      </c>
      <c r="AB214" s="604">
        <f t="shared" ref="AB214" si="136">AA214+1</f>
        <v>2028</v>
      </c>
      <c r="AC214" s="604">
        <f t="shared" ref="AC214" si="137">AB214+1</f>
        <v>2029</v>
      </c>
      <c r="AD214" s="604">
        <f t="shared" ref="AD214" si="138">AC214+1</f>
        <v>2030</v>
      </c>
      <c r="AE214" s="604">
        <f t="shared" ref="AE214" si="139">AD214+1</f>
        <v>2031</v>
      </c>
      <c r="AF214" s="604">
        <f t="shared" ref="AF214" si="140">AE214+1</f>
        <v>2032</v>
      </c>
      <c r="AG214" s="604">
        <f t="shared" ref="AG214" si="141">AF214+1</f>
        <v>2033</v>
      </c>
      <c r="AH214" s="604">
        <f t="shared" ref="AH214" si="142">AG214+1</f>
        <v>2034</v>
      </c>
      <c r="AI214" s="604">
        <f t="shared" ref="AI214" si="143">AH214+1</f>
        <v>2035</v>
      </c>
      <c r="AJ214" s="604">
        <f t="shared" ref="AJ214" si="144">AI214+1</f>
        <v>2036</v>
      </c>
      <c r="AK214" s="604">
        <f t="shared" ref="AK214" si="145">AJ214+1</f>
        <v>2037</v>
      </c>
      <c r="AL214" s="604">
        <f t="shared" ref="AL214" si="146">AK214+1</f>
        <v>2038</v>
      </c>
      <c r="AM214" s="604">
        <f t="shared" ref="AM214" si="147">AL214+1</f>
        <v>2039</v>
      </c>
      <c r="AN214" s="604">
        <f t="shared" ref="AN214" si="148">AM214+1</f>
        <v>2040</v>
      </c>
      <c r="AO214" s="604">
        <f t="shared" ref="AO214" si="149">AN214+1</f>
        <v>2041</v>
      </c>
      <c r="AP214" s="604">
        <f t="shared" ref="AP214" si="150">AO214+1</f>
        <v>2042</v>
      </c>
      <c r="AQ214" s="604">
        <f t="shared" ref="AQ214" si="151">AP214+1</f>
        <v>2043</v>
      </c>
      <c r="AR214" s="604">
        <f t="shared" ref="AR214" si="152">AQ214+1</f>
        <v>2044</v>
      </c>
      <c r="AS214" s="604">
        <f t="shared" ref="AS214" si="153">AR214+1</f>
        <v>2045</v>
      </c>
      <c r="AT214" s="604">
        <f t="shared" ref="AT214" si="154">AS214+1</f>
        <v>2046</v>
      </c>
      <c r="AU214" s="604">
        <f t="shared" ref="AU214" si="155">AT214+1</f>
        <v>2047</v>
      </c>
      <c r="AV214" s="604">
        <f t="shared" ref="AV214" si="156">AU214+1</f>
        <v>2048</v>
      </c>
      <c r="AW214" s="604">
        <f t="shared" ref="AW214" si="157">AV214+1</f>
        <v>2049</v>
      </c>
      <c r="AX214" s="604">
        <f t="shared" ref="AX214" si="158">AW214+1</f>
        <v>2050</v>
      </c>
      <c r="AY214" s="604">
        <f t="shared" ref="AY214" si="159">AX214+1</f>
        <v>2051</v>
      </c>
      <c r="AZ214" s="604">
        <f t="shared" ref="AZ214" si="160">AY214+1</f>
        <v>2052</v>
      </c>
      <c r="BA214" s="604">
        <f t="shared" ref="BA214" si="161">AZ214+1</f>
        <v>2053</v>
      </c>
      <c r="BB214" s="604">
        <f t="shared" ref="BB214" si="162">BA214+1</f>
        <v>2054</v>
      </c>
      <c r="BC214" s="604">
        <f t="shared" ref="BC214" si="163">BB214+1</f>
        <v>2055</v>
      </c>
      <c r="BD214" s="604">
        <f t="shared" ref="BD214" si="164">BC214+1</f>
        <v>2056</v>
      </c>
      <c r="BE214" s="604">
        <f t="shared" ref="BE214" si="165">BD214+1</f>
        <v>2057</v>
      </c>
      <c r="BF214" s="604">
        <f t="shared" ref="BF214" si="166">BE214+1</f>
        <v>2058</v>
      </c>
      <c r="BG214" s="604">
        <f t="shared" ref="BG214" si="167">BF214+1</f>
        <v>2059</v>
      </c>
      <c r="BH214" s="604">
        <f t="shared" ref="BH214" si="168">BG214+1</f>
        <v>2060</v>
      </c>
      <c r="BI214" s="604">
        <f t="shared" ref="BI214" si="169">BH214+1</f>
        <v>2061</v>
      </c>
    </row>
    <row r="215" spans="1:61" ht="30">
      <c r="A215" s="328" t="s">
        <v>67</v>
      </c>
      <c r="B215" s="328" t="s">
        <v>68</v>
      </c>
      <c r="C215" s="330"/>
      <c r="D215" s="330"/>
      <c r="E215" s="330"/>
      <c r="F215" s="330"/>
      <c r="G215" s="330"/>
      <c r="H215" s="330"/>
      <c r="I215" s="330"/>
      <c r="J215" s="330"/>
      <c r="K215" s="330"/>
      <c r="L215" s="330"/>
      <c r="M215" s="330"/>
      <c r="N215" s="330"/>
      <c r="O215" s="330"/>
      <c r="P215" s="147">
        <f t="shared" ref="P215:P220" si="170">P189*$B$200</f>
        <v>0.50277777777777777</v>
      </c>
      <c r="Q215" s="134"/>
      <c r="R215" s="134"/>
      <c r="S215" s="134">
        <f t="shared" ref="S215:S220" si="171">$Q189+$P215*S$178</f>
        <v>489.49722222222221</v>
      </c>
      <c r="T215" s="134">
        <f t="shared" ref="T215:BI215" si="172">$Q189+$P215*T$178</f>
        <v>467.10342236781923</v>
      </c>
      <c r="U215" s="134">
        <f t="shared" si="172"/>
        <v>464.197920735031</v>
      </c>
      <c r="V215" s="134">
        <f t="shared" si="172"/>
        <v>461.29241910224277</v>
      </c>
      <c r="W215" s="134">
        <f t="shared" si="172"/>
        <v>458.3869174694546</v>
      </c>
      <c r="X215" s="134">
        <f t="shared" si="172"/>
        <v>455.48141583666637</v>
      </c>
      <c r="Y215" s="134">
        <f t="shared" si="172"/>
        <v>452.57591420387803</v>
      </c>
      <c r="Z215" s="134">
        <f t="shared" si="172"/>
        <v>445.88712744232453</v>
      </c>
      <c r="AA215" s="134">
        <f t="shared" si="172"/>
        <v>439.19834068077108</v>
      </c>
      <c r="AB215" s="134">
        <f t="shared" si="172"/>
        <v>432.50955391921758</v>
      </c>
      <c r="AC215" s="134">
        <f t="shared" si="172"/>
        <v>425.82076715766408</v>
      </c>
      <c r="AD215" s="134">
        <f t="shared" si="172"/>
        <v>419.13198039611058</v>
      </c>
      <c r="AE215" s="134">
        <f t="shared" si="172"/>
        <v>405.79326131759132</v>
      </c>
      <c r="AF215" s="134">
        <f t="shared" si="172"/>
        <v>392.45454223907205</v>
      </c>
      <c r="AG215" s="134">
        <f t="shared" si="172"/>
        <v>379.11582316055285</v>
      </c>
      <c r="AH215" s="134">
        <f t="shared" si="172"/>
        <v>365.77710408203359</v>
      </c>
      <c r="AI215" s="134">
        <f t="shared" si="172"/>
        <v>352.43838500351438</v>
      </c>
      <c r="AJ215" s="134">
        <f t="shared" si="172"/>
        <v>345.08911746370666</v>
      </c>
      <c r="AK215" s="134">
        <f t="shared" si="172"/>
        <v>337.73984992389887</v>
      </c>
      <c r="AL215" s="134">
        <f t="shared" si="172"/>
        <v>330.39058238409109</v>
      </c>
      <c r="AM215" s="134">
        <f t="shared" si="172"/>
        <v>323.04131484428331</v>
      </c>
      <c r="AN215" s="134">
        <f t="shared" si="172"/>
        <v>315.69204730447564</v>
      </c>
      <c r="AO215" s="134">
        <f t="shared" si="172"/>
        <v>315.69204730447564</v>
      </c>
      <c r="AP215" s="134">
        <f t="shared" si="172"/>
        <v>315.69204730447564</v>
      </c>
      <c r="AQ215" s="134">
        <f t="shared" si="172"/>
        <v>315.69204730447564</v>
      </c>
      <c r="AR215" s="134">
        <f t="shared" si="172"/>
        <v>315.69204730447564</v>
      </c>
      <c r="AS215" s="134">
        <f t="shared" si="172"/>
        <v>315.69204730447564</v>
      </c>
      <c r="AT215" s="134">
        <f t="shared" si="172"/>
        <v>315.69204730447564</v>
      </c>
      <c r="AU215" s="134">
        <f t="shared" si="172"/>
        <v>315.69204730447564</v>
      </c>
      <c r="AV215" s="134">
        <f t="shared" si="172"/>
        <v>315.69204730447564</v>
      </c>
      <c r="AW215" s="134">
        <f t="shared" si="172"/>
        <v>315.69204730447564</v>
      </c>
      <c r="AX215" s="134">
        <f t="shared" si="172"/>
        <v>315.69204730447564</v>
      </c>
      <c r="AY215" s="134">
        <f t="shared" si="172"/>
        <v>315.69204730447564</v>
      </c>
      <c r="AZ215" s="134">
        <f t="shared" si="172"/>
        <v>315.69204730447564</v>
      </c>
      <c r="BA215" s="134">
        <f t="shared" si="172"/>
        <v>315.69204730447564</v>
      </c>
      <c r="BB215" s="134">
        <f t="shared" si="172"/>
        <v>315.69204730447564</v>
      </c>
      <c r="BC215" s="134">
        <f t="shared" si="172"/>
        <v>315.69204730447564</v>
      </c>
      <c r="BD215" s="134">
        <f t="shared" si="172"/>
        <v>315.69204730447564</v>
      </c>
      <c r="BE215" s="134">
        <f t="shared" si="172"/>
        <v>315.69204730447564</v>
      </c>
      <c r="BF215" s="134">
        <f t="shared" si="172"/>
        <v>315.69204730447564</v>
      </c>
      <c r="BG215" s="134">
        <f t="shared" si="172"/>
        <v>315.69204730447564</v>
      </c>
      <c r="BH215" s="134">
        <f t="shared" si="172"/>
        <v>315.69204730447564</v>
      </c>
      <c r="BI215" s="134">
        <f t="shared" si="172"/>
        <v>315.69204730447564</v>
      </c>
    </row>
    <row r="216" spans="1:61" ht="30">
      <c r="A216" s="328" t="str">
        <f>A215</f>
        <v>Samochód osobowy, hybrydowy benzyna +elektryczny</v>
      </c>
      <c r="B216" s="328" t="s">
        <v>69</v>
      </c>
      <c r="C216" s="330"/>
      <c r="D216" s="330"/>
      <c r="E216" s="330"/>
      <c r="F216" s="330"/>
      <c r="G216" s="330"/>
      <c r="H216" s="330"/>
      <c r="I216" s="330"/>
      <c r="J216" s="330"/>
      <c r="K216" s="330"/>
      <c r="L216" s="330"/>
      <c r="M216" s="330"/>
      <c r="N216" s="330"/>
      <c r="O216" s="330"/>
      <c r="P216" s="147">
        <f t="shared" si="170"/>
        <v>0.65833333333333344</v>
      </c>
      <c r="Q216" s="134"/>
      <c r="R216" s="134"/>
      <c r="S216" s="134">
        <f t="shared" si="171"/>
        <v>641.3416666666667</v>
      </c>
      <c r="T216" s="134">
        <f t="shared" ref="T216:BI216" si="173">$Q190+$P216*T$178</f>
        <v>612.01939834902305</v>
      </c>
      <c r="U216" s="134">
        <f t="shared" si="173"/>
        <v>608.21495698454351</v>
      </c>
      <c r="V216" s="134">
        <f t="shared" si="173"/>
        <v>604.41051562006385</v>
      </c>
      <c r="W216" s="134">
        <f t="shared" si="173"/>
        <v>600.60607425558419</v>
      </c>
      <c r="X216" s="134">
        <f t="shared" si="173"/>
        <v>596.80163289110465</v>
      </c>
      <c r="Y216" s="134">
        <f t="shared" si="173"/>
        <v>592.99719152662487</v>
      </c>
      <c r="Z216" s="134">
        <f t="shared" si="173"/>
        <v>584.23894587751897</v>
      </c>
      <c r="AA216" s="134">
        <f t="shared" si="173"/>
        <v>575.48070022841307</v>
      </c>
      <c r="AB216" s="134">
        <f t="shared" si="173"/>
        <v>566.72245457930705</v>
      </c>
      <c r="AC216" s="134">
        <f t="shared" si="173"/>
        <v>557.96420893020104</v>
      </c>
      <c r="AD216" s="134">
        <f t="shared" si="173"/>
        <v>549.20596328109514</v>
      </c>
      <c r="AE216" s="134">
        <f t="shared" si="173"/>
        <v>531.7403476920947</v>
      </c>
      <c r="AF216" s="134">
        <f t="shared" si="173"/>
        <v>514.27473210309449</v>
      </c>
      <c r="AG216" s="134">
        <f t="shared" si="173"/>
        <v>496.80911651409411</v>
      </c>
      <c r="AH216" s="134">
        <f t="shared" si="173"/>
        <v>479.34350092509379</v>
      </c>
      <c r="AI216" s="134">
        <f t="shared" si="173"/>
        <v>461.87788533609347</v>
      </c>
      <c r="AJ216" s="134">
        <f t="shared" si="173"/>
        <v>452.25481126463251</v>
      </c>
      <c r="AK216" s="134">
        <f t="shared" si="173"/>
        <v>442.63173719317149</v>
      </c>
      <c r="AL216" s="134">
        <f t="shared" si="173"/>
        <v>433.00866312171053</v>
      </c>
      <c r="AM216" s="134">
        <f t="shared" si="173"/>
        <v>423.38558905024951</v>
      </c>
      <c r="AN216" s="134">
        <f t="shared" si="173"/>
        <v>413.76251497878854</v>
      </c>
      <c r="AO216" s="134">
        <f t="shared" si="173"/>
        <v>413.76251497878854</v>
      </c>
      <c r="AP216" s="134">
        <f t="shared" si="173"/>
        <v>413.76251497878854</v>
      </c>
      <c r="AQ216" s="134">
        <f t="shared" si="173"/>
        <v>413.76251497878854</v>
      </c>
      <c r="AR216" s="134">
        <f t="shared" si="173"/>
        <v>413.76251497878854</v>
      </c>
      <c r="AS216" s="134">
        <f t="shared" si="173"/>
        <v>413.76251497878854</v>
      </c>
      <c r="AT216" s="134">
        <f t="shared" si="173"/>
        <v>413.76251497878854</v>
      </c>
      <c r="AU216" s="134">
        <f t="shared" si="173"/>
        <v>413.76251497878854</v>
      </c>
      <c r="AV216" s="134">
        <f t="shared" si="173"/>
        <v>413.76251497878854</v>
      </c>
      <c r="AW216" s="134">
        <f t="shared" si="173"/>
        <v>413.76251497878854</v>
      </c>
      <c r="AX216" s="134">
        <f t="shared" si="173"/>
        <v>413.76251497878854</v>
      </c>
      <c r="AY216" s="134">
        <f t="shared" si="173"/>
        <v>413.76251497878854</v>
      </c>
      <c r="AZ216" s="134">
        <f t="shared" si="173"/>
        <v>413.76251497878854</v>
      </c>
      <c r="BA216" s="134">
        <f t="shared" si="173"/>
        <v>413.76251497878854</v>
      </c>
      <c r="BB216" s="134">
        <f t="shared" si="173"/>
        <v>413.76251497878854</v>
      </c>
      <c r="BC216" s="134">
        <f t="shared" si="173"/>
        <v>413.76251497878854</v>
      </c>
      <c r="BD216" s="134">
        <f t="shared" si="173"/>
        <v>413.76251497878854</v>
      </c>
      <c r="BE216" s="134">
        <f t="shared" si="173"/>
        <v>413.76251497878854</v>
      </c>
      <c r="BF216" s="134">
        <f t="shared" si="173"/>
        <v>413.76251497878854</v>
      </c>
      <c r="BG216" s="134">
        <f t="shared" si="173"/>
        <v>413.76251497878854</v>
      </c>
      <c r="BH216" s="134">
        <f t="shared" si="173"/>
        <v>413.76251497878854</v>
      </c>
      <c r="BI216" s="134">
        <f t="shared" si="173"/>
        <v>413.76251497878854</v>
      </c>
    </row>
    <row r="217" spans="1:61" ht="30">
      <c r="A217" s="328" t="s">
        <v>70</v>
      </c>
      <c r="B217" s="328" t="s">
        <v>68</v>
      </c>
      <c r="C217" s="330"/>
      <c r="D217" s="330"/>
      <c r="E217" s="330"/>
      <c r="F217" s="330"/>
      <c r="G217" s="330"/>
      <c r="H217" s="330"/>
      <c r="I217" s="330"/>
      <c r="J217" s="330"/>
      <c r="K217" s="330"/>
      <c r="L217" s="330"/>
      <c r="M217" s="330"/>
      <c r="N217" s="330"/>
      <c r="O217" s="330"/>
      <c r="P217" s="147">
        <f t="shared" si="170"/>
        <v>0.23333333333333334</v>
      </c>
      <c r="Q217" s="134"/>
      <c r="R217" s="134"/>
      <c r="S217" s="134">
        <f t="shared" si="171"/>
        <v>167.76666666666668</v>
      </c>
      <c r="T217" s="134">
        <f t="shared" ref="T217:BI217" si="174">$Q191+$P217*T$178</f>
        <v>157.37396397180561</v>
      </c>
      <c r="U217" s="134">
        <f t="shared" si="174"/>
        <v>156.02555437426855</v>
      </c>
      <c r="V217" s="134">
        <f t="shared" si="174"/>
        <v>154.67714477673147</v>
      </c>
      <c r="W217" s="134">
        <f t="shared" si="174"/>
        <v>153.32873517919438</v>
      </c>
      <c r="X217" s="134">
        <f t="shared" si="174"/>
        <v>151.98032558165733</v>
      </c>
      <c r="Y217" s="134">
        <f t="shared" si="174"/>
        <v>150.63191598412018</v>
      </c>
      <c r="Z217" s="134">
        <f t="shared" si="174"/>
        <v>147.5277276527915</v>
      </c>
      <c r="AA217" s="134">
        <f t="shared" si="174"/>
        <v>144.42353932146281</v>
      </c>
      <c r="AB217" s="134">
        <f t="shared" si="174"/>
        <v>141.31935099013413</v>
      </c>
      <c r="AC217" s="134">
        <f t="shared" si="174"/>
        <v>138.21516265880544</v>
      </c>
      <c r="AD217" s="134">
        <f t="shared" si="174"/>
        <v>135.11097432747673</v>
      </c>
      <c r="AE217" s="134">
        <f t="shared" si="174"/>
        <v>128.92062956175508</v>
      </c>
      <c r="AF217" s="134">
        <f t="shared" si="174"/>
        <v>122.73028479603346</v>
      </c>
      <c r="AG217" s="134">
        <f t="shared" si="174"/>
        <v>116.53994003031181</v>
      </c>
      <c r="AH217" s="134">
        <f t="shared" si="174"/>
        <v>110.34959526459018</v>
      </c>
      <c r="AI217" s="134">
        <f t="shared" si="174"/>
        <v>104.15925049886856</v>
      </c>
      <c r="AJ217" s="134">
        <f t="shared" si="174"/>
        <v>100.74854070138872</v>
      </c>
      <c r="AK217" s="134">
        <f t="shared" si="174"/>
        <v>97.337830903908866</v>
      </c>
      <c r="AL217" s="134">
        <f t="shared" si="174"/>
        <v>93.927121106429027</v>
      </c>
      <c r="AM217" s="134">
        <f t="shared" si="174"/>
        <v>90.516411308949188</v>
      </c>
      <c r="AN217" s="134">
        <f t="shared" si="174"/>
        <v>87.105701511469348</v>
      </c>
      <c r="AO217" s="134">
        <f t="shared" si="174"/>
        <v>87.105701511469348</v>
      </c>
      <c r="AP217" s="134">
        <f t="shared" si="174"/>
        <v>87.105701511469348</v>
      </c>
      <c r="AQ217" s="134">
        <f t="shared" si="174"/>
        <v>87.105701511469348</v>
      </c>
      <c r="AR217" s="134">
        <f t="shared" si="174"/>
        <v>87.105701511469348</v>
      </c>
      <c r="AS217" s="134">
        <f t="shared" si="174"/>
        <v>87.105701511469348</v>
      </c>
      <c r="AT217" s="134">
        <f t="shared" si="174"/>
        <v>87.105701511469348</v>
      </c>
      <c r="AU217" s="134">
        <f t="shared" si="174"/>
        <v>87.105701511469348</v>
      </c>
      <c r="AV217" s="134">
        <f t="shared" si="174"/>
        <v>87.105701511469348</v>
      </c>
      <c r="AW217" s="134">
        <f t="shared" si="174"/>
        <v>87.105701511469348</v>
      </c>
      <c r="AX217" s="134">
        <f t="shared" si="174"/>
        <v>87.105701511469348</v>
      </c>
      <c r="AY217" s="134">
        <f t="shared" si="174"/>
        <v>87.105701511469348</v>
      </c>
      <c r="AZ217" s="134">
        <f t="shared" si="174"/>
        <v>87.105701511469348</v>
      </c>
      <c r="BA217" s="134">
        <f t="shared" si="174"/>
        <v>87.105701511469348</v>
      </c>
      <c r="BB217" s="134">
        <f t="shared" si="174"/>
        <v>87.105701511469348</v>
      </c>
      <c r="BC217" s="134">
        <f t="shared" si="174"/>
        <v>87.105701511469348</v>
      </c>
      <c r="BD217" s="134">
        <f t="shared" si="174"/>
        <v>87.105701511469348</v>
      </c>
      <c r="BE217" s="134">
        <f t="shared" si="174"/>
        <v>87.105701511469348</v>
      </c>
      <c r="BF217" s="134">
        <f t="shared" si="174"/>
        <v>87.105701511469348</v>
      </c>
      <c r="BG217" s="134">
        <f t="shared" si="174"/>
        <v>87.105701511469348</v>
      </c>
      <c r="BH217" s="134">
        <f t="shared" si="174"/>
        <v>87.105701511469348</v>
      </c>
      <c r="BI217" s="134">
        <f t="shared" si="174"/>
        <v>87.105701511469348</v>
      </c>
    </row>
    <row r="218" spans="1:61" ht="30">
      <c r="A218" s="328" t="s">
        <v>70</v>
      </c>
      <c r="B218" s="328" t="s">
        <v>69</v>
      </c>
      <c r="C218" s="330"/>
      <c r="D218" s="330"/>
      <c r="E218" s="330"/>
      <c r="F218" s="330"/>
      <c r="G218" s="330"/>
      <c r="H218" s="330"/>
      <c r="I218" s="330"/>
      <c r="J218" s="330"/>
      <c r="K218" s="330"/>
      <c r="L218" s="330"/>
      <c r="M218" s="330"/>
      <c r="N218" s="330"/>
      <c r="O218" s="330"/>
      <c r="P218" s="147">
        <f t="shared" si="170"/>
        <v>0.20277777777777778</v>
      </c>
      <c r="Q218" s="134"/>
      <c r="R218" s="134"/>
      <c r="S218" s="134">
        <f t="shared" si="171"/>
        <v>145.79722222222222</v>
      </c>
      <c r="T218" s="134">
        <f t="shared" ref="T218:BI218" si="175">$Q192+$P218*T$178</f>
        <v>136.76546868978346</v>
      </c>
      <c r="U218" s="134">
        <f t="shared" si="175"/>
        <v>135.5936365395429</v>
      </c>
      <c r="V218" s="134">
        <f t="shared" si="175"/>
        <v>134.42180438930234</v>
      </c>
      <c r="W218" s="134">
        <f t="shared" si="175"/>
        <v>133.2499722390618</v>
      </c>
      <c r="X218" s="134">
        <f t="shared" si="175"/>
        <v>132.07814008882124</v>
      </c>
      <c r="Y218" s="134">
        <f t="shared" si="175"/>
        <v>130.90630793858065</v>
      </c>
      <c r="Z218" s="134">
        <f t="shared" si="175"/>
        <v>128.20862046016404</v>
      </c>
      <c r="AA218" s="134">
        <f t="shared" si="175"/>
        <v>125.51093298174744</v>
      </c>
      <c r="AB218" s="134">
        <f t="shared" si="175"/>
        <v>122.81324550333085</v>
      </c>
      <c r="AC218" s="134">
        <f t="shared" si="175"/>
        <v>120.11555802491425</v>
      </c>
      <c r="AD218" s="134">
        <f t="shared" si="175"/>
        <v>117.41787054649762</v>
      </c>
      <c r="AE218" s="134">
        <f t="shared" si="175"/>
        <v>112.03816616676335</v>
      </c>
      <c r="AF218" s="134">
        <f t="shared" si="175"/>
        <v>106.65846178702907</v>
      </c>
      <c r="AG218" s="134">
        <f t="shared" si="175"/>
        <v>101.27875740729479</v>
      </c>
      <c r="AH218" s="134">
        <f t="shared" si="175"/>
        <v>95.899053027560512</v>
      </c>
      <c r="AI218" s="134">
        <f t="shared" si="175"/>
        <v>90.519348647826249</v>
      </c>
      <c r="AJ218" s="134">
        <f t="shared" si="175"/>
        <v>87.555279419064007</v>
      </c>
      <c r="AK218" s="134">
        <f t="shared" si="175"/>
        <v>84.591210190301751</v>
      </c>
      <c r="AL218" s="134">
        <f t="shared" si="175"/>
        <v>81.62714096153951</v>
      </c>
      <c r="AM218" s="134">
        <f t="shared" si="175"/>
        <v>78.663071732777269</v>
      </c>
      <c r="AN218" s="134">
        <f t="shared" si="175"/>
        <v>75.699002504015027</v>
      </c>
      <c r="AO218" s="134">
        <f t="shared" si="175"/>
        <v>75.699002504015027</v>
      </c>
      <c r="AP218" s="134">
        <f t="shared" si="175"/>
        <v>75.699002504015027</v>
      </c>
      <c r="AQ218" s="134">
        <f t="shared" si="175"/>
        <v>75.699002504015027</v>
      </c>
      <c r="AR218" s="134">
        <f t="shared" si="175"/>
        <v>75.699002504015027</v>
      </c>
      <c r="AS218" s="134">
        <f t="shared" si="175"/>
        <v>75.699002504015027</v>
      </c>
      <c r="AT218" s="134">
        <f t="shared" si="175"/>
        <v>75.699002504015027</v>
      </c>
      <c r="AU218" s="134">
        <f t="shared" si="175"/>
        <v>75.699002504015027</v>
      </c>
      <c r="AV218" s="134">
        <f t="shared" si="175"/>
        <v>75.699002504015027</v>
      </c>
      <c r="AW218" s="134">
        <f t="shared" si="175"/>
        <v>75.699002504015027</v>
      </c>
      <c r="AX218" s="134">
        <f t="shared" si="175"/>
        <v>75.699002504015027</v>
      </c>
      <c r="AY218" s="134">
        <f t="shared" si="175"/>
        <v>75.699002504015027</v>
      </c>
      <c r="AZ218" s="134">
        <f t="shared" si="175"/>
        <v>75.699002504015027</v>
      </c>
      <c r="BA218" s="134">
        <f t="shared" si="175"/>
        <v>75.699002504015027</v>
      </c>
      <c r="BB218" s="134">
        <f t="shared" si="175"/>
        <v>75.699002504015027</v>
      </c>
      <c r="BC218" s="134">
        <f t="shared" si="175"/>
        <v>75.699002504015027</v>
      </c>
      <c r="BD218" s="134">
        <f t="shared" si="175"/>
        <v>75.699002504015027</v>
      </c>
      <c r="BE218" s="134">
        <f t="shared" si="175"/>
        <v>75.699002504015027</v>
      </c>
      <c r="BF218" s="134">
        <f t="shared" si="175"/>
        <v>75.699002504015027</v>
      </c>
      <c r="BG218" s="134">
        <f t="shared" si="175"/>
        <v>75.699002504015027</v>
      </c>
      <c r="BH218" s="134">
        <f t="shared" si="175"/>
        <v>75.699002504015027</v>
      </c>
      <c r="BI218" s="134">
        <f t="shared" si="175"/>
        <v>75.699002504015027</v>
      </c>
    </row>
    <row r="219" spans="1:61" ht="45">
      <c r="A219" s="328" t="s">
        <v>72</v>
      </c>
      <c r="B219" s="328" t="s">
        <v>68</v>
      </c>
      <c r="C219" s="330"/>
      <c r="D219" s="330"/>
      <c r="E219" s="330"/>
      <c r="F219" s="330"/>
      <c r="G219" s="330"/>
      <c r="H219" s="330"/>
      <c r="I219" s="330"/>
      <c r="J219" s="330"/>
      <c r="K219" s="330"/>
      <c r="L219" s="330"/>
      <c r="M219" s="330"/>
      <c r="N219" s="330"/>
      <c r="O219" s="330"/>
      <c r="P219" s="147">
        <f t="shared" si="170"/>
        <v>3.1722222222222225</v>
      </c>
      <c r="Q219" s="134"/>
      <c r="R219" s="134"/>
      <c r="S219" s="134">
        <f t="shared" si="171"/>
        <v>3089.827777777778</v>
      </c>
      <c r="T219" s="134">
        <f t="shared" ref="T219:BI219" si="176">$Q193+$P219*T$178</f>
        <v>2948.5365101881193</v>
      </c>
      <c r="U219" s="134">
        <f t="shared" si="176"/>
        <v>2930.2045606596989</v>
      </c>
      <c r="V219" s="134">
        <f t="shared" si="176"/>
        <v>2911.8726111312781</v>
      </c>
      <c r="W219" s="134">
        <f t="shared" si="176"/>
        <v>2893.5406616028572</v>
      </c>
      <c r="X219" s="134">
        <f t="shared" si="176"/>
        <v>2875.2087120744368</v>
      </c>
      <c r="Y219" s="134">
        <f t="shared" si="176"/>
        <v>2856.876762546015</v>
      </c>
      <c r="Z219" s="134">
        <f t="shared" si="176"/>
        <v>2814.6745830891418</v>
      </c>
      <c r="AA219" s="134">
        <f t="shared" si="176"/>
        <v>2772.4724036322687</v>
      </c>
      <c r="AB219" s="134">
        <f t="shared" si="176"/>
        <v>2730.270224175395</v>
      </c>
      <c r="AC219" s="134">
        <f t="shared" si="176"/>
        <v>2688.0680447185214</v>
      </c>
      <c r="AD219" s="134">
        <f t="shared" si="176"/>
        <v>2645.8658652616477</v>
      </c>
      <c r="AE219" s="134">
        <f t="shared" si="176"/>
        <v>2561.7066542800512</v>
      </c>
      <c r="AF219" s="134">
        <f t="shared" si="176"/>
        <v>2477.5474432984547</v>
      </c>
      <c r="AG219" s="134">
        <f t="shared" si="176"/>
        <v>2393.3882323168582</v>
      </c>
      <c r="AH219" s="134">
        <f t="shared" si="176"/>
        <v>2309.2290213352617</v>
      </c>
      <c r="AI219" s="134">
        <f t="shared" si="176"/>
        <v>2225.0698103536652</v>
      </c>
      <c r="AJ219" s="134">
        <f t="shared" si="176"/>
        <v>2178.7003985831657</v>
      </c>
      <c r="AK219" s="134">
        <f t="shared" si="176"/>
        <v>2132.3309868126662</v>
      </c>
      <c r="AL219" s="134">
        <f t="shared" si="176"/>
        <v>2085.9615750421663</v>
      </c>
      <c r="AM219" s="134">
        <f t="shared" si="176"/>
        <v>2039.5921632716663</v>
      </c>
      <c r="AN219" s="134">
        <f t="shared" si="176"/>
        <v>1993.2227515011668</v>
      </c>
      <c r="AO219" s="134">
        <f t="shared" si="176"/>
        <v>1993.2227515011668</v>
      </c>
      <c r="AP219" s="134">
        <f t="shared" si="176"/>
        <v>1993.2227515011668</v>
      </c>
      <c r="AQ219" s="134">
        <f t="shared" si="176"/>
        <v>1993.2227515011668</v>
      </c>
      <c r="AR219" s="134">
        <f t="shared" si="176"/>
        <v>1993.2227515011668</v>
      </c>
      <c r="AS219" s="134">
        <f t="shared" si="176"/>
        <v>1993.2227515011668</v>
      </c>
      <c r="AT219" s="134">
        <f t="shared" si="176"/>
        <v>1993.2227515011668</v>
      </c>
      <c r="AU219" s="134">
        <f t="shared" si="176"/>
        <v>1993.2227515011668</v>
      </c>
      <c r="AV219" s="134">
        <f t="shared" si="176"/>
        <v>1993.2227515011668</v>
      </c>
      <c r="AW219" s="134">
        <f t="shared" si="176"/>
        <v>1993.2227515011668</v>
      </c>
      <c r="AX219" s="134">
        <f t="shared" si="176"/>
        <v>1993.2227515011668</v>
      </c>
      <c r="AY219" s="134">
        <f t="shared" si="176"/>
        <v>1993.2227515011668</v>
      </c>
      <c r="AZ219" s="134">
        <f t="shared" si="176"/>
        <v>1993.2227515011668</v>
      </c>
      <c r="BA219" s="134">
        <f t="shared" si="176"/>
        <v>1993.2227515011668</v>
      </c>
      <c r="BB219" s="134">
        <f t="shared" si="176"/>
        <v>1993.2227515011668</v>
      </c>
      <c r="BC219" s="134">
        <f t="shared" si="176"/>
        <v>1993.2227515011668</v>
      </c>
      <c r="BD219" s="134">
        <f t="shared" si="176"/>
        <v>1993.2227515011668</v>
      </c>
      <c r="BE219" s="134">
        <f t="shared" si="176"/>
        <v>1993.2227515011668</v>
      </c>
      <c r="BF219" s="134">
        <f t="shared" si="176"/>
        <v>1993.2227515011668</v>
      </c>
      <c r="BG219" s="134">
        <f t="shared" si="176"/>
        <v>1993.2227515011668</v>
      </c>
      <c r="BH219" s="134">
        <f t="shared" si="176"/>
        <v>1993.2227515011668</v>
      </c>
      <c r="BI219" s="134">
        <f t="shared" si="176"/>
        <v>1993.2227515011668</v>
      </c>
    </row>
    <row r="220" spans="1:61" ht="30">
      <c r="A220" s="329" t="s">
        <v>73</v>
      </c>
      <c r="B220" s="329" t="s">
        <v>68</v>
      </c>
      <c r="C220" s="331"/>
      <c r="D220" s="331"/>
      <c r="E220" s="331"/>
      <c r="F220" s="331"/>
      <c r="G220" s="331"/>
      <c r="H220" s="331"/>
      <c r="I220" s="331"/>
      <c r="J220" s="331"/>
      <c r="K220" s="331"/>
      <c r="L220" s="331"/>
      <c r="M220" s="331"/>
      <c r="N220" s="331"/>
      <c r="O220" s="331"/>
      <c r="P220" s="148">
        <f t="shared" si="170"/>
        <v>2.1750000000000003</v>
      </c>
      <c r="Q220" s="141"/>
      <c r="R220" s="141"/>
      <c r="S220" s="141">
        <f t="shared" si="171"/>
        <v>1563.8250000000003</v>
      </c>
      <c r="T220" s="141">
        <f t="shared" ref="T220:BI220" si="177">$Q194+$P220*T$178</f>
        <v>1466.9501641657598</v>
      </c>
      <c r="U220" s="141">
        <f t="shared" si="177"/>
        <v>1454.3810604172891</v>
      </c>
      <c r="V220" s="141">
        <f t="shared" si="177"/>
        <v>1441.8119566688185</v>
      </c>
      <c r="W220" s="141">
        <f t="shared" si="177"/>
        <v>1429.242852920348</v>
      </c>
      <c r="X220" s="141">
        <f t="shared" si="177"/>
        <v>1416.6737491718773</v>
      </c>
      <c r="Y220" s="141">
        <f t="shared" si="177"/>
        <v>1404.1046454234063</v>
      </c>
      <c r="Z220" s="141">
        <f t="shared" si="177"/>
        <v>1375.1691756206637</v>
      </c>
      <c r="AA220" s="141">
        <f t="shared" si="177"/>
        <v>1346.2337058179214</v>
      </c>
      <c r="AB220" s="141">
        <f t="shared" si="177"/>
        <v>1317.2982360151789</v>
      </c>
      <c r="AC220" s="141">
        <f t="shared" si="177"/>
        <v>1288.3627662124366</v>
      </c>
      <c r="AD220" s="141">
        <f t="shared" si="177"/>
        <v>1259.427296409694</v>
      </c>
      <c r="AE220" s="141">
        <f t="shared" si="177"/>
        <v>1201.724439843503</v>
      </c>
      <c r="AF220" s="141">
        <f t="shared" si="177"/>
        <v>1144.0215832773119</v>
      </c>
      <c r="AG220" s="141">
        <f t="shared" si="177"/>
        <v>1086.3187267111209</v>
      </c>
      <c r="AH220" s="141">
        <f t="shared" si="177"/>
        <v>1028.6158701449301</v>
      </c>
      <c r="AI220" s="141">
        <f t="shared" si="177"/>
        <v>970.9130135787392</v>
      </c>
      <c r="AJ220" s="141">
        <f t="shared" si="177"/>
        <v>939.12032582365919</v>
      </c>
      <c r="AK220" s="141">
        <f t="shared" si="177"/>
        <v>907.32763806857918</v>
      </c>
      <c r="AL220" s="141">
        <f t="shared" si="177"/>
        <v>875.53495031349928</v>
      </c>
      <c r="AM220" s="141">
        <f t="shared" si="177"/>
        <v>843.74226255841927</v>
      </c>
      <c r="AN220" s="141">
        <f t="shared" si="177"/>
        <v>811.94957480333937</v>
      </c>
      <c r="AO220" s="141">
        <f t="shared" si="177"/>
        <v>811.94957480333937</v>
      </c>
      <c r="AP220" s="141">
        <f t="shared" si="177"/>
        <v>811.94957480333937</v>
      </c>
      <c r="AQ220" s="141">
        <f t="shared" si="177"/>
        <v>811.94957480333937</v>
      </c>
      <c r="AR220" s="141">
        <f t="shared" si="177"/>
        <v>811.94957480333937</v>
      </c>
      <c r="AS220" s="141">
        <f t="shared" si="177"/>
        <v>811.94957480333937</v>
      </c>
      <c r="AT220" s="141">
        <f t="shared" si="177"/>
        <v>811.94957480333937</v>
      </c>
      <c r="AU220" s="141">
        <f t="shared" si="177"/>
        <v>811.94957480333937</v>
      </c>
      <c r="AV220" s="141">
        <f t="shared" si="177"/>
        <v>811.94957480333937</v>
      </c>
      <c r="AW220" s="141">
        <f t="shared" si="177"/>
        <v>811.94957480333937</v>
      </c>
      <c r="AX220" s="141">
        <f t="shared" si="177"/>
        <v>811.94957480333937</v>
      </c>
      <c r="AY220" s="141">
        <f t="shared" si="177"/>
        <v>811.94957480333937</v>
      </c>
      <c r="AZ220" s="141">
        <f t="shared" si="177"/>
        <v>811.94957480333937</v>
      </c>
      <c r="BA220" s="141">
        <f t="shared" si="177"/>
        <v>811.94957480333937</v>
      </c>
      <c r="BB220" s="141">
        <f t="shared" si="177"/>
        <v>811.94957480333937</v>
      </c>
      <c r="BC220" s="141">
        <f t="shared" si="177"/>
        <v>811.94957480333937</v>
      </c>
      <c r="BD220" s="141">
        <f t="shared" si="177"/>
        <v>811.94957480333937</v>
      </c>
      <c r="BE220" s="141">
        <f t="shared" si="177"/>
        <v>811.94957480333937</v>
      </c>
      <c r="BF220" s="141">
        <f t="shared" si="177"/>
        <v>811.94957480333937</v>
      </c>
      <c r="BG220" s="141">
        <f t="shared" si="177"/>
        <v>811.94957480333937</v>
      </c>
      <c r="BH220" s="141">
        <f t="shared" si="177"/>
        <v>811.94957480333937</v>
      </c>
      <c r="BI220" s="141">
        <f t="shared" si="177"/>
        <v>811.94957480333937</v>
      </c>
    </row>
    <row r="221" spans="1:61"/>
    <row r="222" spans="1:61" ht="15.75" thickBot="1">
      <c r="A222" s="206" t="s">
        <v>126</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row>
    <row r="223" spans="1:61">
      <c r="A223" s="330"/>
      <c r="B223" s="330"/>
      <c r="C223" s="330"/>
      <c r="D223" s="330"/>
      <c r="E223" s="330"/>
      <c r="F223" s="330"/>
      <c r="G223" s="330"/>
      <c r="H223" s="330"/>
      <c r="I223" s="330"/>
      <c r="J223" s="330"/>
      <c r="K223" s="330"/>
      <c r="L223" s="330"/>
      <c r="M223" s="330"/>
      <c r="N223" s="330"/>
      <c r="O223" s="330"/>
      <c r="P223" s="330"/>
      <c r="Q223" s="330"/>
      <c r="R223" s="330"/>
      <c r="S223" s="124" t="s">
        <v>44</v>
      </c>
      <c r="T223" s="126"/>
      <c r="U223" s="125"/>
      <c r="V223" s="330"/>
      <c r="W223" s="124" t="s">
        <v>45</v>
      </c>
      <c r="X223" s="126"/>
      <c r="Y223" s="125"/>
    </row>
    <row r="224" spans="1:61" ht="30.75" thickBot="1">
      <c r="A224" s="330"/>
      <c r="B224" s="330"/>
      <c r="C224" s="330"/>
      <c r="D224" s="330"/>
      <c r="E224" s="330"/>
      <c r="F224" s="330"/>
      <c r="G224" s="330"/>
      <c r="H224" s="330"/>
      <c r="I224" s="330"/>
      <c r="J224" s="330"/>
      <c r="K224" s="330"/>
      <c r="L224" s="330"/>
      <c r="M224" s="330"/>
      <c r="N224" s="330"/>
      <c r="O224" s="330"/>
      <c r="P224" s="330"/>
      <c r="Q224" s="330"/>
      <c r="R224" s="330"/>
      <c r="S224" s="32" t="s">
        <v>43</v>
      </c>
      <c r="T224" s="33" t="s">
        <v>10</v>
      </c>
      <c r="U224" s="209" t="s">
        <v>125</v>
      </c>
      <c r="V224" s="330"/>
      <c r="W224" s="25" t="s">
        <v>127</v>
      </c>
      <c r="X224" s="20" t="s">
        <v>10</v>
      </c>
      <c r="Y224" s="209" t="s">
        <v>125</v>
      </c>
    </row>
    <row r="225" spans="1:61">
      <c r="A225" s="330"/>
      <c r="B225" s="330"/>
      <c r="C225" s="330"/>
      <c r="D225" s="330"/>
      <c r="E225" s="330"/>
      <c r="F225" s="330"/>
      <c r="G225" s="330"/>
      <c r="H225" s="330"/>
      <c r="I225" s="330"/>
      <c r="J225" s="330"/>
      <c r="K225" s="330"/>
      <c r="L225" s="330"/>
      <c r="M225" s="330"/>
      <c r="N225" s="330"/>
      <c r="O225" s="330"/>
      <c r="P225" s="330"/>
      <c r="Q225" s="330"/>
      <c r="R225" s="330"/>
      <c r="S225" s="26" t="s">
        <v>13</v>
      </c>
      <c r="T225" s="30">
        <f>T74</f>
        <v>1</v>
      </c>
      <c r="U225" s="31">
        <f>U74</f>
        <v>1</v>
      </c>
      <c r="V225" s="330"/>
      <c r="W225" s="26" t="s">
        <v>128</v>
      </c>
      <c r="X225" s="210">
        <v>1</v>
      </c>
      <c r="Y225" s="211">
        <v>1</v>
      </c>
    </row>
    <row r="226" spans="1:61" ht="15.75" thickBot="1">
      <c r="A226" s="330"/>
      <c r="B226" s="330"/>
      <c r="C226" s="330"/>
      <c r="D226" s="330"/>
      <c r="E226" s="330"/>
      <c r="F226" s="330"/>
      <c r="G226" s="330"/>
      <c r="H226" s="330"/>
      <c r="I226" s="330"/>
      <c r="J226" s="330"/>
      <c r="K226" s="330"/>
      <c r="L226" s="330"/>
      <c r="M226" s="330"/>
      <c r="N226" s="330"/>
      <c r="O226" s="330"/>
      <c r="P226" s="330"/>
      <c r="Q226" s="330"/>
      <c r="R226" s="330"/>
      <c r="S226" s="27" t="s">
        <v>12</v>
      </c>
      <c r="T226" s="28">
        <f>T75</f>
        <v>1.1499999999999999</v>
      </c>
      <c r="U226" s="29">
        <f>U75</f>
        <v>1.6966788184975283</v>
      </c>
      <c r="V226" s="330"/>
      <c r="W226" s="212" t="s">
        <v>129</v>
      </c>
      <c r="X226" s="127">
        <f>AVERAGE(AB47,AB53)</f>
        <v>1.1687500000000002</v>
      </c>
      <c r="Y226" s="123">
        <f>AVERAGE(AC47,AC53)</f>
        <v>1.1875</v>
      </c>
    </row>
    <row r="227" spans="1:61">
      <c r="A227" s="330"/>
      <c r="B227" s="330"/>
      <c r="C227" s="330"/>
      <c r="D227" s="330"/>
      <c r="E227" s="330"/>
      <c r="F227" s="330"/>
      <c r="G227" s="330"/>
      <c r="H227" s="330"/>
      <c r="I227" s="330"/>
      <c r="J227" s="330"/>
      <c r="K227" s="330"/>
      <c r="L227" s="330"/>
      <c r="M227" s="330"/>
      <c r="N227" s="330"/>
      <c r="O227" s="330"/>
      <c r="P227" s="330"/>
      <c r="Q227" s="330"/>
      <c r="R227" s="330"/>
      <c r="S227" s="35" t="str">
        <f>$S$76</f>
        <v>Źródło: Obliczenia własne</v>
      </c>
      <c r="T227" s="195"/>
      <c r="U227" s="195"/>
      <c r="V227" s="330"/>
      <c r="W227" s="208" t="str">
        <f>$AA$57</f>
        <v>Źródło: Obliczenia własne na podstawie "Optimisation of Maintenance", OECD/ITF 2012, str. 12</v>
      </c>
      <c r="X227" s="330"/>
      <c r="Y227" s="330"/>
    </row>
    <row r="228" spans="1:61">
      <c r="S228" s="772" t="str">
        <f>$S$77</f>
        <v xml:space="preserve">W obliczeniach mnożników nachylenia podłużnego drogi uwzględniono, że teren falisty zwiększa zużycie paliwa lub energii w pojazdach lekkich o 15%. W przypadku HGV przyjęto dodatkowe założenia dotyczące funkcji zużycia paliwa. </v>
      </c>
      <c r="T228" s="772"/>
      <c r="U228" s="772"/>
      <c r="V228" s="772"/>
      <c r="W228" s="772"/>
      <c r="X228" s="772"/>
      <c r="Y228" s="772"/>
      <c r="Z228" s="772"/>
    </row>
    <row r="229" spans="1:61" s="613" customFormat="1">
      <c r="S229" s="772"/>
      <c r="T229" s="772"/>
      <c r="U229" s="772"/>
      <c r="V229" s="772"/>
      <c r="W229" s="772"/>
      <c r="X229" s="772"/>
      <c r="Y229" s="772"/>
      <c r="Z229" s="772"/>
    </row>
    <row r="230" spans="1:61" s="557" customFormat="1"/>
    <row r="231" spans="1:61">
      <c r="A231" s="787" t="s">
        <v>704</v>
      </c>
      <c r="B231" s="787"/>
      <c r="C231" s="787"/>
      <c r="D231" s="787"/>
      <c r="E231" s="787"/>
      <c r="F231" s="787"/>
      <c r="G231" s="787"/>
      <c r="H231" s="787"/>
      <c r="I231" s="787"/>
      <c r="J231" s="787"/>
      <c r="K231" s="787"/>
      <c r="L231" s="787"/>
      <c r="M231" s="787"/>
      <c r="N231" s="787"/>
      <c r="O231" s="787"/>
      <c r="P231" s="787"/>
      <c r="Q231" s="787"/>
      <c r="R231" s="787"/>
      <c r="S231" s="787"/>
      <c r="T231" s="787"/>
      <c r="U231" s="787"/>
      <c r="V231" s="787"/>
      <c r="W231" s="330"/>
      <c r="X231" s="330"/>
      <c r="Y231" s="330"/>
      <c r="Z231" s="330"/>
      <c r="AA231" s="330"/>
      <c r="AB231" s="330"/>
      <c r="AC231" s="330"/>
      <c r="AD231" s="330"/>
      <c r="AE231" s="330"/>
      <c r="AF231" s="330"/>
      <c r="AG231" s="330"/>
      <c r="AH231" s="330"/>
      <c r="AI231" s="330"/>
      <c r="AJ231" s="330"/>
      <c r="AK231" s="330"/>
      <c r="AL231" s="330"/>
      <c r="AM231" s="330"/>
      <c r="AN231" s="330"/>
      <c r="AO231" s="330"/>
      <c r="AP231" s="330"/>
      <c r="AQ231" s="330"/>
      <c r="AR231" s="330"/>
      <c r="AS231" s="330"/>
      <c r="AT231" s="330"/>
      <c r="AU231" s="330"/>
      <c r="AV231" s="330"/>
      <c r="AW231" s="330"/>
      <c r="AX231" s="330"/>
      <c r="AY231" s="330"/>
      <c r="AZ231" s="330"/>
      <c r="BA231" s="330"/>
      <c r="BB231" s="330"/>
      <c r="BC231" s="330"/>
      <c r="BD231" s="330"/>
      <c r="BE231" s="330"/>
      <c r="BF231" s="330"/>
      <c r="BG231" s="330"/>
      <c r="BH231" s="330"/>
      <c r="BI231" s="330"/>
    </row>
    <row r="232" spans="1:61" s="613" customFormat="1">
      <c r="A232" s="787"/>
      <c r="B232" s="787"/>
      <c r="C232" s="787"/>
      <c r="D232" s="787"/>
      <c r="E232" s="787"/>
      <c r="F232" s="787"/>
      <c r="G232" s="787"/>
      <c r="H232" s="787"/>
      <c r="I232" s="787"/>
      <c r="J232" s="787"/>
      <c r="K232" s="787"/>
      <c r="L232" s="787"/>
      <c r="M232" s="787"/>
      <c r="N232" s="787"/>
      <c r="O232" s="787"/>
      <c r="P232" s="787"/>
      <c r="Q232" s="787"/>
      <c r="R232" s="787"/>
      <c r="S232" s="787"/>
      <c r="T232" s="787"/>
      <c r="U232" s="787"/>
      <c r="V232" s="787"/>
    </row>
    <row r="233" spans="1:61">
      <c r="A233" s="715" t="s">
        <v>648</v>
      </c>
      <c r="B233" s="715"/>
      <c r="C233" s="715"/>
      <c r="D233" s="715"/>
      <c r="E233" s="715"/>
      <c r="F233" s="715"/>
      <c r="G233" s="715"/>
      <c r="H233" s="715"/>
      <c r="I233" s="715"/>
      <c r="J233" s="715"/>
      <c r="K233" s="715"/>
      <c r="L233" s="715"/>
      <c r="M233" s="715"/>
      <c r="N233" s="715"/>
      <c r="O233" s="715"/>
      <c r="P233" s="715"/>
      <c r="Q233" s="715"/>
      <c r="R233" s="715"/>
      <c r="S233" s="715"/>
      <c r="T233" s="715"/>
      <c r="U233" s="715"/>
      <c r="V233" s="715"/>
      <c r="W233" s="330"/>
      <c r="X233" s="330"/>
      <c r="Y233" s="330"/>
      <c r="Z233" s="330"/>
      <c r="AA233" s="330"/>
      <c r="AB233" s="330"/>
      <c r="AC233" s="330"/>
      <c r="AD233" s="330"/>
      <c r="AE233" s="330"/>
      <c r="AF233" s="330"/>
      <c r="AG233" s="330"/>
      <c r="AH233" s="330"/>
      <c r="AI233" s="330"/>
      <c r="AJ233" s="330"/>
      <c r="AK233" s="330"/>
      <c r="AL233" s="330"/>
      <c r="AM233" s="330"/>
      <c r="AN233" s="330"/>
      <c r="AO233" s="330"/>
      <c r="AP233" s="330"/>
      <c r="AQ233" s="330"/>
      <c r="AR233" s="330"/>
      <c r="AS233" s="330"/>
      <c r="AT233" s="330"/>
      <c r="AU233" s="330"/>
      <c r="AV233" s="330"/>
      <c r="AW233" s="330"/>
      <c r="AX233" s="330"/>
      <c r="AY233" s="330"/>
      <c r="AZ233" s="330"/>
      <c r="BA233" s="330"/>
      <c r="BB233" s="330"/>
      <c r="BC233" s="330"/>
      <c r="BD233" s="330"/>
      <c r="BE233" s="330"/>
      <c r="BF233" s="330"/>
      <c r="BG233" s="330"/>
      <c r="BH233" s="330"/>
      <c r="BI233" s="330"/>
    </row>
    <row r="234" spans="1:61" s="613" customFormat="1">
      <c r="A234" s="779"/>
      <c r="B234" s="779"/>
      <c r="C234" s="779"/>
      <c r="D234" s="779"/>
      <c r="E234" s="779"/>
      <c r="F234" s="779"/>
      <c r="G234" s="779"/>
      <c r="H234" s="779"/>
      <c r="I234" s="779"/>
      <c r="J234" s="779"/>
      <c r="K234" s="779"/>
      <c r="L234" s="779"/>
      <c r="M234" s="779"/>
      <c r="N234" s="779"/>
      <c r="O234" s="779"/>
      <c r="P234" s="779"/>
      <c r="Q234" s="779"/>
      <c r="R234" s="779"/>
      <c r="S234" s="779"/>
      <c r="T234" s="779"/>
      <c r="U234" s="779"/>
      <c r="V234" s="779"/>
    </row>
    <row r="235" spans="1:61" s="534" customFormat="1">
      <c r="A235" s="718" t="s">
        <v>649</v>
      </c>
      <c r="B235" s="685" t="s">
        <v>328</v>
      </c>
      <c r="C235" s="671"/>
      <c r="D235" s="671"/>
      <c r="E235" s="671"/>
      <c r="F235" s="671"/>
      <c r="G235" s="671"/>
      <c r="H235" s="671"/>
      <c r="I235" s="671"/>
      <c r="J235" s="671"/>
      <c r="K235" s="671"/>
      <c r="L235" s="671"/>
      <c r="M235" s="671"/>
      <c r="N235" s="671"/>
      <c r="O235" s="671"/>
      <c r="P235" s="674"/>
      <c r="Q235" s="6"/>
      <c r="R235" s="6"/>
      <c r="S235" s="6"/>
      <c r="T235" s="6">
        <v>2020</v>
      </c>
      <c r="U235" s="6">
        <f>T235+1</f>
        <v>2021</v>
      </c>
      <c r="V235" s="6">
        <f t="shared" ref="V235:BI235" si="178">U235+1</f>
        <v>2022</v>
      </c>
      <c r="W235" s="6">
        <f t="shared" si="178"/>
        <v>2023</v>
      </c>
      <c r="X235" s="6">
        <f t="shared" si="178"/>
        <v>2024</v>
      </c>
      <c r="Y235" s="6">
        <f t="shared" si="178"/>
        <v>2025</v>
      </c>
      <c r="Z235" s="6">
        <f t="shared" si="178"/>
        <v>2026</v>
      </c>
      <c r="AA235" s="6">
        <f t="shared" si="178"/>
        <v>2027</v>
      </c>
      <c r="AB235" s="6">
        <f t="shared" si="178"/>
        <v>2028</v>
      </c>
      <c r="AC235" s="6">
        <f t="shared" si="178"/>
        <v>2029</v>
      </c>
      <c r="AD235" s="6">
        <f t="shared" si="178"/>
        <v>2030</v>
      </c>
      <c r="AE235" s="6">
        <f t="shared" si="178"/>
        <v>2031</v>
      </c>
      <c r="AF235" s="6">
        <f t="shared" si="178"/>
        <v>2032</v>
      </c>
      <c r="AG235" s="6">
        <f t="shared" si="178"/>
        <v>2033</v>
      </c>
      <c r="AH235" s="6">
        <f t="shared" si="178"/>
        <v>2034</v>
      </c>
      <c r="AI235" s="6">
        <f t="shared" si="178"/>
        <v>2035</v>
      </c>
      <c r="AJ235" s="6">
        <f t="shared" si="178"/>
        <v>2036</v>
      </c>
      <c r="AK235" s="6">
        <f t="shared" si="178"/>
        <v>2037</v>
      </c>
      <c r="AL235" s="6">
        <f t="shared" si="178"/>
        <v>2038</v>
      </c>
      <c r="AM235" s="6">
        <f t="shared" si="178"/>
        <v>2039</v>
      </c>
      <c r="AN235" s="6">
        <f t="shared" si="178"/>
        <v>2040</v>
      </c>
      <c r="AO235" s="6">
        <f t="shared" si="178"/>
        <v>2041</v>
      </c>
      <c r="AP235" s="6">
        <f t="shared" si="178"/>
        <v>2042</v>
      </c>
      <c r="AQ235" s="6">
        <f t="shared" si="178"/>
        <v>2043</v>
      </c>
      <c r="AR235" s="6">
        <f t="shared" si="178"/>
        <v>2044</v>
      </c>
      <c r="AS235" s="6">
        <f t="shared" si="178"/>
        <v>2045</v>
      </c>
      <c r="AT235" s="6">
        <f t="shared" si="178"/>
        <v>2046</v>
      </c>
      <c r="AU235" s="6">
        <f t="shared" si="178"/>
        <v>2047</v>
      </c>
      <c r="AV235" s="6">
        <f t="shared" si="178"/>
        <v>2048</v>
      </c>
      <c r="AW235" s="6">
        <f t="shared" si="178"/>
        <v>2049</v>
      </c>
      <c r="AX235" s="6">
        <f t="shared" si="178"/>
        <v>2050</v>
      </c>
      <c r="AY235" s="6">
        <f t="shared" si="178"/>
        <v>2051</v>
      </c>
      <c r="AZ235" s="6">
        <f t="shared" si="178"/>
        <v>2052</v>
      </c>
      <c r="BA235" s="6">
        <f t="shared" si="178"/>
        <v>2053</v>
      </c>
      <c r="BB235" s="6">
        <f t="shared" si="178"/>
        <v>2054</v>
      </c>
      <c r="BC235" s="6">
        <f t="shared" si="178"/>
        <v>2055</v>
      </c>
      <c r="BD235" s="6">
        <f t="shared" si="178"/>
        <v>2056</v>
      </c>
      <c r="BE235" s="6">
        <f t="shared" si="178"/>
        <v>2057</v>
      </c>
      <c r="BF235" s="6">
        <f t="shared" si="178"/>
        <v>2058</v>
      </c>
      <c r="BG235" s="6">
        <f t="shared" si="178"/>
        <v>2059</v>
      </c>
      <c r="BH235" s="6">
        <f t="shared" si="178"/>
        <v>2060</v>
      </c>
      <c r="BI235" s="6">
        <f t="shared" si="178"/>
        <v>2061</v>
      </c>
    </row>
    <row r="236" spans="1:61" ht="30" customHeight="1">
      <c r="A236" s="719"/>
      <c r="B236" s="686" t="s">
        <v>530</v>
      </c>
      <c r="C236" s="681"/>
      <c r="D236" s="681"/>
      <c r="E236" s="681"/>
      <c r="F236" s="681"/>
      <c r="G236" s="681"/>
      <c r="H236" s="681"/>
      <c r="I236" s="681"/>
      <c r="J236" s="681"/>
      <c r="K236" s="681"/>
      <c r="L236" s="681"/>
      <c r="M236" s="681"/>
      <c r="N236" s="681"/>
      <c r="O236" s="681"/>
      <c r="P236" s="687"/>
      <c r="Q236" s="683">
        <f>DATE(2016,12,31)</f>
        <v>42735</v>
      </c>
      <c r="R236" s="683">
        <f>DATE(YEAR(Q236+1),12,31)</f>
        <v>43100</v>
      </c>
      <c r="S236" s="683">
        <f t="shared" ref="S236" si="179">DATE(YEAR(R236+1),12,31)</f>
        <v>43465</v>
      </c>
      <c r="T236" s="683">
        <f>DATE(YEAR(S236+1),12,31)</f>
        <v>43830</v>
      </c>
      <c r="U236" s="683">
        <f t="shared" ref="U236:BI236" si="180">DATE(YEAR(T236+1),12,31)</f>
        <v>44196</v>
      </c>
      <c r="V236" s="683">
        <f t="shared" si="180"/>
        <v>44561</v>
      </c>
      <c r="W236" s="683">
        <f t="shared" si="180"/>
        <v>44926</v>
      </c>
      <c r="X236" s="683">
        <f t="shared" si="180"/>
        <v>45291</v>
      </c>
      <c r="Y236" s="683">
        <f t="shared" si="180"/>
        <v>45657</v>
      </c>
      <c r="Z236" s="683">
        <f t="shared" si="180"/>
        <v>46022</v>
      </c>
      <c r="AA236" s="683">
        <f t="shared" si="180"/>
        <v>46387</v>
      </c>
      <c r="AB236" s="683">
        <f t="shared" si="180"/>
        <v>46752</v>
      </c>
      <c r="AC236" s="683">
        <f t="shared" si="180"/>
        <v>47118</v>
      </c>
      <c r="AD236" s="683">
        <f t="shared" si="180"/>
        <v>47483</v>
      </c>
      <c r="AE236" s="683">
        <f t="shared" si="180"/>
        <v>47848</v>
      </c>
      <c r="AF236" s="683">
        <f t="shared" si="180"/>
        <v>48213</v>
      </c>
      <c r="AG236" s="683">
        <f t="shared" si="180"/>
        <v>48579</v>
      </c>
      <c r="AH236" s="683">
        <f t="shared" si="180"/>
        <v>48944</v>
      </c>
      <c r="AI236" s="683">
        <f t="shared" si="180"/>
        <v>49309</v>
      </c>
      <c r="AJ236" s="683">
        <f t="shared" si="180"/>
        <v>49674</v>
      </c>
      <c r="AK236" s="683">
        <f t="shared" si="180"/>
        <v>50040</v>
      </c>
      <c r="AL236" s="683">
        <f t="shared" si="180"/>
        <v>50405</v>
      </c>
      <c r="AM236" s="683">
        <f t="shared" si="180"/>
        <v>50770</v>
      </c>
      <c r="AN236" s="683">
        <f t="shared" si="180"/>
        <v>51135</v>
      </c>
      <c r="AO236" s="683">
        <f t="shared" si="180"/>
        <v>51501</v>
      </c>
      <c r="AP236" s="683">
        <f t="shared" si="180"/>
        <v>51866</v>
      </c>
      <c r="AQ236" s="683">
        <f t="shared" si="180"/>
        <v>52231</v>
      </c>
      <c r="AR236" s="683">
        <f t="shared" si="180"/>
        <v>52596</v>
      </c>
      <c r="AS236" s="683">
        <f t="shared" si="180"/>
        <v>52962</v>
      </c>
      <c r="AT236" s="683">
        <f t="shared" si="180"/>
        <v>53327</v>
      </c>
      <c r="AU236" s="683">
        <f t="shared" si="180"/>
        <v>53692</v>
      </c>
      <c r="AV236" s="683">
        <f t="shared" si="180"/>
        <v>54057</v>
      </c>
      <c r="AW236" s="683">
        <f t="shared" si="180"/>
        <v>54423</v>
      </c>
      <c r="AX236" s="683">
        <f t="shared" si="180"/>
        <v>54788</v>
      </c>
      <c r="AY236" s="683">
        <f t="shared" si="180"/>
        <v>55153</v>
      </c>
      <c r="AZ236" s="683">
        <f t="shared" si="180"/>
        <v>55518</v>
      </c>
      <c r="BA236" s="683">
        <f t="shared" si="180"/>
        <v>55884</v>
      </c>
      <c r="BB236" s="683">
        <f t="shared" si="180"/>
        <v>56249</v>
      </c>
      <c r="BC236" s="683">
        <f t="shared" si="180"/>
        <v>56614</v>
      </c>
      <c r="BD236" s="683">
        <f t="shared" si="180"/>
        <v>56979</v>
      </c>
      <c r="BE236" s="683">
        <f t="shared" si="180"/>
        <v>57345</v>
      </c>
      <c r="BF236" s="683">
        <f t="shared" si="180"/>
        <v>57710</v>
      </c>
      <c r="BG236" s="683">
        <f t="shared" si="180"/>
        <v>58075</v>
      </c>
      <c r="BH236" s="683">
        <f t="shared" si="180"/>
        <v>58440</v>
      </c>
      <c r="BI236" s="683">
        <f t="shared" si="180"/>
        <v>58806</v>
      </c>
    </row>
    <row r="237" spans="1:61" ht="45">
      <c r="A237" s="8" t="s">
        <v>71</v>
      </c>
      <c r="B237" s="129" t="s">
        <v>42</v>
      </c>
      <c r="C237" s="13"/>
      <c r="D237" s="13"/>
      <c r="E237" s="13"/>
      <c r="F237" s="13"/>
      <c r="G237" s="13"/>
      <c r="H237" s="13"/>
      <c r="I237" s="13"/>
      <c r="J237" s="13"/>
      <c r="K237" s="13"/>
      <c r="L237" s="13"/>
      <c r="M237" s="13"/>
      <c r="N237" s="13"/>
      <c r="O237" s="13"/>
      <c r="P237" s="13"/>
      <c r="Q237" s="93"/>
      <c r="R237" s="93"/>
      <c r="S237" s="93"/>
      <c r="T237" s="130">
        <f t="shared" ref="T237:BI237" si="181">T$101*(T$217*10^-6)*$T$225*$X$225</f>
        <v>5.8236800236455687E-2</v>
      </c>
      <c r="U237" s="130">
        <f t="shared" si="181"/>
        <v>5.9700902183435905E-2</v>
      </c>
      <c r="V237" s="130">
        <f t="shared" si="181"/>
        <v>7.5421604944719126E-2</v>
      </c>
      <c r="W237" s="130">
        <f t="shared" si="181"/>
        <v>8.7867100058463474E-2</v>
      </c>
      <c r="X237" s="130">
        <f t="shared" si="181"/>
        <v>0.10008213353602417</v>
      </c>
      <c r="Y237" s="130">
        <f t="shared" si="181"/>
        <v>0.11206670537740117</v>
      </c>
      <c r="Z237" s="130">
        <f t="shared" si="181"/>
        <v>0.12236451300729417</v>
      </c>
      <c r="AA237" s="130">
        <f t="shared" si="181"/>
        <v>0.13213177240972951</v>
      </c>
      <c r="AB237" s="130">
        <f t="shared" si="181"/>
        <v>0.14136848358470716</v>
      </c>
      <c r="AC237" s="130">
        <f t="shared" si="181"/>
        <v>0.15007464653222718</v>
      </c>
      <c r="AD237" s="130">
        <f t="shared" si="181"/>
        <v>0.15825026125228944</v>
      </c>
      <c r="AE237" s="130">
        <f t="shared" si="181"/>
        <v>0.16201689884980253</v>
      </c>
      <c r="AF237" s="130">
        <f t="shared" si="181"/>
        <v>0.17151196661219056</v>
      </c>
      <c r="AG237" s="130">
        <f t="shared" si="181"/>
        <v>0.17926442216273603</v>
      </c>
      <c r="AH237" s="130">
        <f t="shared" si="181"/>
        <v>0.18527426550143899</v>
      </c>
      <c r="AI237" s="130">
        <f t="shared" si="181"/>
        <v>0.18954149662829936</v>
      </c>
      <c r="AJ237" s="130">
        <f t="shared" si="181"/>
        <v>0.1975155353054687</v>
      </c>
      <c r="AK237" s="130">
        <f t="shared" si="181"/>
        <v>0.20404013767065535</v>
      </c>
      <c r="AL237" s="130">
        <f t="shared" si="181"/>
        <v>0.20963889901841259</v>
      </c>
      <c r="AM237" s="130">
        <f t="shared" si="181"/>
        <v>0.21431181934874044</v>
      </c>
      <c r="AN237" s="130">
        <f t="shared" si="181"/>
        <v>0.21805889866163888</v>
      </c>
      <c r="AO237" s="130">
        <f t="shared" si="181"/>
        <v>0.22988136907100484</v>
      </c>
      <c r="AP237" s="130">
        <f t="shared" si="181"/>
        <v>0.24170383948037086</v>
      </c>
      <c r="AQ237" s="130">
        <f t="shared" si="181"/>
        <v>0.25352630988973685</v>
      </c>
      <c r="AR237" s="130">
        <f t="shared" si="181"/>
        <v>0.2653487802991028</v>
      </c>
      <c r="AS237" s="130">
        <f t="shared" si="181"/>
        <v>0.27717125070846876</v>
      </c>
      <c r="AT237" s="130">
        <f t="shared" si="181"/>
        <v>0.28899372111783472</v>
      </c>
      <c r="AU237" s="130">
        <f t="shared" si="181"/>
        <v>0.30125406080162165</v>
      </c>
      <c r="AV237" s="130">
        <f t="shared" si="181"/>
        <v>0.31351440048540857</v>
      </c>
      <c r="AW237" s="130">
        <f t="shared" si="181"/>
        <v>0.3257747401691955</v>
      </c>
      <c r="AX237" s="130">
        <f t="shared" si="181"/>
        <v>0.33803507985298237</v>
      </c>
      <c r="AY237" s="130">
        <f t="shared" si="181"/>
        <v>0.35029541953676935</v>
      </c>
      <c r="AZ237" s="130">
        <f t="shared" si="181"/>
        <v>0.35029541953676935</v>
      </c>
      <c r="BA237" s="130">
        <f t="shared" si="181"/>
        <v>0.35029541953676935</v>
      </c>
      <c r="BB237" s="130">
        <f t="shared" si="181"/>
        <v>0.35029541953676935</v>
      </c>
      <c r="BC237" s="130">
        <f t="shared" si="181"/>
        <v>0.35029541953676935</v>
      </c>
      <c r="BD237" s="130">
        <f t="shared" si="181"/>
        <v>0.35029541953676935</v>
      </c>
      <c r="BE237" s="130">
        <f t="shared" si="181"/>
        <v>0.35029541953676935</v>
      </c>
      <c r="BF237" s="130">
        <f t="shared" si="181"/>
        <v>0.35029541953676935</v>
      </c>
      <c r="BG237" s="130">
        <f t="shared" si="181"/>
        <v>0.35029541953676935</v>
      </c>
      <c r="BH237" s="130">
        <f t="shared" si="181"/>
        <v>0.35029541953676935</v>
      </c>
      <c r="BI237" s="130">
        <f t="shared" si="181"/>
        <v>0.35029541953676935</v>
      </c>
    </row>
    <row r="238" spans="1:61"/>
    <row r="239" spans="1:61"/>
    <row r="240" spans="1:61">
      <c r="A240" s="720" t="s">
        <v>705</v>
      </c>
      <c r="B240" s="720"/>
      <c r="C240" s="720"/>
      <c r="D240" s="720"/>
      <c r="E240" s="720"/>
      <c r="F240" s="720"/>
      <c r="G240" s="720"/>
      <c r="H240" s="720"/>
      <c r="I240" s="720"/>
      <c r="J240" s="720"/>
      <c r="K240" s="720"/>
      <c r="L240" s="720"/>
      <c r="M240" s="720"/>
      <c r="N240" s="720"/>
      <c r="O240" s="720"/>
      <c r="P240" s="720"/>
      <c r="Q240" s="720"/>
      <c r="R240" s="720"/>
      <c r="S240" s="720"/>
      <c r="T240" s="720"/>
      <c r="U240" s="720"/>
      <c r="V240" s="720"/>
    </row>
    <row r="241" spans="1:61" s="613" customFormat="1">
      <c r="A241" s="720"/>
      <c r="B241" s="720"/>
      <c r="C241" s="720"/>
      <c r="D241" s="720"/>
      <c r="E241" s="720"/>
      <c r="F241" s="720"/>
      <c r="G241" s="720"/>
      <c r="H241" s="720"/>
      <c r="I241" s="720"/>
      <c r="J241" s="720"/>
      <c r="K241" s="720"/>
      <c r="L241" s="720"/>
      <c r="M241" s="720"/>
      <c r="N241" s="720"/>
      <c r="O241" s="720"/>
      <c r="P241" s="720"/>
      <c r="Q241" s="720"/>
      <c r="R241" s="720"/>
      <c r="S241" s="720"/>
      <c r="T241" s="720"/>
      <c r="U241" s="720"/>
      <c r="V241" s="720"/>
    </row>
    <row r="242" spans="1:61">
      <c r="A242" s="782" t="s">
        <v>541</v>
      </c>
      <c r="B242" s="782"/>
      <c r="C242" s="782"/>
      <c r="D242" s="782"/>
      <c r="E242" s="782"/>
      <c r="F242" s="782"/>
      <c r="G242" s="782"/>
      <c r="H242" s="782"/>
      <c r="I242" s="782"/>
      <c r="J242" s="782"/>
      <c r="K242" s="782"/>
      <c r="L242" s="782"/>
      <c r="M242" s="782"/>
      <c r="N242" s="782"/>
      <c r="O242" s="782"/>
      <c r="P242" s="782"/>
      <c r="Q242" s="782"/>
      <c r="R242" s="782"/>
      <c r="S242" s="782"/>
      <c r="T242" s="782"/>
      <c r="U242" s="782"/>
      <c r="V242" s="782"/>
    </row>
    <row r="243" spans="1:61" s="613" customFormat="1">
      <c r="A243" s="782"/>
      <c r="B243" s="782"/>
      <c r="C243" s="782"/>
      <c r="D243" s="782"/>
      <c r="E243" s="782"/>
      <c r="F243" s="782"/>
      <c r="G243" s="782"/>
      <c r="H243" s="782"/>
      <c r="I243" s="782"/>
      <c r="J243" s="782"/>
      <c r="K243" s="782"/>
      <c r="L243" s="782"/>
      <c r="M243" s="782"/>
      <c r="N243" s="782"/>
      <c r="O243" s="782"/>
      <c r="P243" s="782"/>
      <c r="Q243" s="782"/>
      <c r="R243" s="782"/>
      <c r="S243" s="782"/>
      <c r="T243" s="782"/>
      <c r="U243" s="782"/>
      <c r="V243" s="782"/>
    </row>
    <row r="244" spans="1:61" s="613" customFormat="1">
      <c r="A244" s="780" t="s">
        <v>706</v>
      </c>
      <c r="B244" s="780"/>
      <c r="C244" s="780"/>
      <c r="D244" s="780"/>
      <c r="E244" s="780"/>
      <c r="F244" s="780"/>
      <c r="G244" s="780"/>
      <c r="H244" s="780"/>
      <c r="I244" s="780"/>
      <c r="J244" s="780"/>
      <c r="K244" s="780"/>
      <c r="L244" s="780"/>
      <c r="M244" s="780"/>
      <c r="N244" s="780"/>
      <c r="O244" s="780"/>
      <c r="P244" s="780"/>
      <c r="Q244" s="780"/>
      <c r="R244" s="780"/>
      <c r="S244" s="780"/>
      <c r="T244" s="780"/>
      <c r="U244" s="780"/>
      <c r="V244" s="780"/>
    </row>
    <row r="245" spans="1:61" s="613" customFormat="1">
      <c r="A245" s="780"/>
      <c r="B245" s="780"/>
      <c r="C245" s="780"/>
      <c r="D245" s="780"/>
      <c r="E245" s="780"/>
      <c r="F245" s="780"/>
      <c r="G245" s="780"/>
      <c r="H245" s="780"/>
      <c r="I245" s="780"/>
      <c r="J245" s="780"/>
      <c r="K245" s="780"/>
      <c r="L245" s="780"/>
      <c r="M245" s="780"/>
      <c r="N245" s="780"/>
      <c r="O245" s="780"/>
      <c r="P245" s="780"/>
      <c r="Q245" s="780"/>
      <c r="R245" s="780"/>
      <c r="S245" s="780"/>
      <c r="T245" s="780"/>
      <c r="U245" s="780"/>
      <c r="V245" s="780"/>
    </row>
    <row r="246" spans="1:61" s="613" customFormat="1">
      <c r="A246" s="780"/>
      <c r="B246" s="780"/>
      <c r="C246" s="780"/>
      <c r="D246" s="780"/>
      <c r="E246" s="780"/>
      <c r="F246" s="780"/>
      <c r="G246" s="780"/>
      <c r="H246" s="780"/>
      <c r="I246" s="780"/>
      <c r="J246" s="780"/>
      <c r="K246" s="780"/>
      <c r="L246" s="780"/>
      <c r="M246" s="780"/>
      <c r="N246" s="780"/>
      <c r="O246" s="780"/>
      <c r="P246" s="780"/>
      <c r="Q246" s="780"/>
      <c r="R246" s="780"/>
      <c r="S246" s="780"/>
      <c r="T246" s="780"/>
      <c r="U246" s="780"/>
      <c r="V246" s="780"/>
    </row>
    <row r="247" spans="1:61" s="613" customFormat="1">
      <c r="A247" s="781"/>
      <c r="B247" s="781"/>
      <c r="C247" s="781"/>
      <c r="D247" s="781"/>
      <c r="E247" s="781"/>
      <c r="F247" s="781"/>
      <c r="G247" s="781"/>
      <c r="H247" s="781"/>
      <c r="I247" s="781"/>
      <c r="J247" s="781"/>
      <c r="K247" s="781"/>
      <c r="L247" s="781"/>
      <c r="M247" s="781"/>
      <c r="N247" s="781"/>
      <c r="O247" s="781"/>
      <c r="P247" s="781"/>
      <c r="Q247" s="781"/>
      <c r="R247" s="781"/>
      <c r="S247" s="781"/>
      <c r="T247" s="781"/>
      <c r="U247" s="781"/>
      <c r="V247" s="781"/>
    </row>
    <row r="248" spans="1:61">
      <c r="A248" s="718"/>
      <c r="B248" s="685" t="s">
        <v>328</v>
      </c>
      <c r="C248" s="671"/>
      <c r="D248" s="671"/>
      <c r="E248" s="671"/>
      <c r="F248" s="671"/>
      <c r="G248" s="671"/>
      <c r="H248" s="671"/>
      <c r="I248" s="671"/>
      <c r="J248" s="671"/>
      <c r="K248" s="671"/>
      <c r="L248" s="671"/>
      <c r="M248" s="671"/>
      <c r="N248" s="671"/>
      <c r="O248" s="671"/>
      <c r="P248" s="674"/>
      <c r="Q248" s="6"/>
      <c r="R248" s="6"/>
      <c r="S248" s="6"/>
      <c r="T248" s="6">
        <v>2020</v>
      </c>
      <c r="U248" s="6">
        <f>T248+1</f>
        <v>2021</v>
      </c>
      <c r="V248" s="6">
        <f t="shared" ref="V248:AK248" si="182">U248+1</f>
        <v>2022</v>
      </c>
      <c r="W248" s="6">
        <f t="shared" si="182"/>
        <v>2023</v>
      </c>
      <c r="X248" s="6">
        <f t="shared" si="182"/>
        <v>2024</v>
      </c>
      <c r="Y248" s="6">
        <f t="shared" si="182"/>
        <v>2025</v>
      </c>
      <c r="Z248" s="6">
        <f t="shared" si="182"/>
        <v>2026</v>
      </c>
      <c r="AA248" s="6">
        <f t="shared" si="182"/>
        <v>2027</v>
      </c>
      <c r="AB248" s="6">
        <f t="shared" si="182"/>
        <v>2028</v>
      </c>
      <c r="AC248" s="6">
        <f t="shared" si="182"/>
        <v>2029</v>
      </c>
      <c r="AD248" s="6">
        <f t="shared" si="182"/>
        <v>2030</v>
      </c>
      <c r="AE248" s="6">
        <f t="shared" si="182"/>
        <v>2031</v>
      </c>
      <c r="AF248" s="6">
        <f t="shared" si="182"/>
        <v>2032</v>
      </c>
      <c r="AG248" s="6">
        <f t="shared" si="182"/>
        <v>2033</v>
      </c>
      <c r="AH248" s="6">
        <f t="shared" si="182"/>
        <v>2034</v>
      </c>
      <c r="AI248" s="6">
        <f t="shared" si="182"/>
        <v>2035</v>
      </c>
      <c r="AJ248" s="6">
        <f t="shared" si="182"/>
        <v>2036</v>
      </c>
      <c r="AK248" s="6">
        <f t="shared" si="182"/>
        <v>2037</v>
      </c>
      <c r="AL248" s="6">
        <f t="shared" ref="AL248:BA248" si="183">AK248+1</f>
        <v>2038</v>
      </c>
      <c r="AM248" s="6">
        <f t="shared" si="183"/>
        <v>2039</v>
      </c>
      <c r="AN248" s="6">
        <f t="shared" si="183"/>
        <v>2040</v>
      </c>
      <c r="AO248" s="6">
        <f t="shared" si="183"/>
        <v>2041</v>
      </c>
      <c r="AP248" s="6">
        <f t="shared" si="183"/>
        <v>2042</v>
      </c>
      <c r="AQ248" s="6">
        <f t="shared" si="183"/>
        <v>2043</v>
      </c>
      <c r="AR248" s="6">
        <f t="shared" si="183"/>
        <v>2044</v>
      </c>
      <c r="AS248" s="6">
        <f t="shared" si="183"/>
        <v>2045</v>
      </c>
      <c r="AT248" s="6">
        <f t="shared" si="183"/>
        <v>2046</v>
      </c>
      <c r="AU248" s="6">
        <f t="shared" si="183"/>
        <v>2047</v>
      </c>
      <c r="AV248" s="6">
        <f t="shared" si="183"/>
        <v>2048</v>
      </c>
      <c r="AW248" s="6">
        <f t="shared" si="183"/>
        <v>2049</v>
      </c>
      <c r="AX248" s="6">
        <f t="shared" si="183"/>
        <v>2050</v>
      </c>
      <c r="AY248" s="6">
        <f t="shared" si="183"/>
        <v>2051</v>
      </c>
      <c r="AZ248" s="6">
        <f t="shared" si="183"/>
        <v>2052</v>
      </c>
      <c r="BA248" s="6">
        <f t="shared" si="183"/>
        <v>2053</v>
      </c>
      <c r="BB248" s="6">
        <f t="shared" ref="BB248:BI248" si="184">BA248+1</f>
        <v>2054</v>
      </c>
      <c r="BC248" s="6">
        <f t="shared" si="184"/>
        <v>2055</v>
      </c>
      <c r="BD248" s="6">
        <f t="shared" si="184"/>
        <v>2056</v>
      </c>
      <c r="BE248" s="6">
        <f t="shared" si="184"/>
        <v>2057</v>
      </c>
      <c r="BF248" s="6">
        <f t="shared" si="184"/>
        <v>2058</v>
      </c>
      <c r="BG248" s="6">
        <f t="shared" si="184"/>
        <v>2059</v>
      </c>
      <c r="BH248" s="6">
        <f t="shared" si="184"/>
        <v>2060</v>
      </c>
      <c r="BI248" s="6">
        <f t="shared" si="184"/>
        <v>2061</v>
      </c>
    </row>
    <row r="249" spans="1:61">
      <c r="A249" s="719"/>
      <c r="B249" s="686" t="s">
        <v>530</v>
      </c>
      <c r="C249" s="681"/>
      <c r="D249" s="681"/>
      <c r="E249" s="681"/>
      <c r="F249" s="681"/>
      <c r="G249" s="681"/>
      <c r="H249" s="681"/>
      <c r="I249" s="681"/>
      <c r="J249" s="681"/>
      <c r="K249" s="681"/>
      <c r="L249" s="681"/>
      <c r="M249" s="681"/>
      <c r="N249" s="681"/>
      <c r="O249" s="681"/>
      <c r="P249" s="687"/>
      <c r="Q249" s="683">
        <f>DATE(2016,12,31)</f>
        <v>42735</v>
      </c>
      <c r="R249" s="683">
        <f>DATE(YEAR(Q249+1),12,31)</f>
        <v>43100</v>
      </c>
      <c r="S249" s="683">
        <f t="shared" ref="S249" si="185">DATE(YEAR(R249+1),12,31)</f>
        <v>43465</v>
      </c>
      <c r="T249" s="683">
        <f>DATE(YEAR(S249+1),12,31)</f>
        <v>43830</v>
      </c>
      <c r="U249" s="683">
        <f t="shared" ref="U249:BI249" si="186">DATE(YEAR(T249+1),12,31)</f>
        <v>44196</v>
      </c>
      <c r="V249" s="683">
        <f t="shared" si="186"/>
        <v>44561</v>
      </c>
      <c r="W249" s="683">
        <f t="shared" si="186"/>
        <v>44926</v>
      </c>
      <c r="X249" s="683">
        <f t="shared" si="186"/>
        <v>45291</v>
      </c>
      <c r="Y249" s="683">
        <f t="shared" si="186"/>
        <v>45657</v>
      </c>
      <c r="Z249" s="683">
        <f t="shared" si="186"/>
        <v>46022</v>
      </c>
      <c r="AA249" s="683">
        <f t="shared" si="186"/>
        <v>46387</v>
      </c>
      <c r="AB249" s="683">
        <f t="shared" si="186"/>
        <v>46752</v>
      </c>
      <c r="AC249" s="683">
        <f t="shared" si="186"/>
        <v>47118</v>
      </c>
      <c r="AD249" s="683">
        <f t="shared" si="186"/>
        <v>47483</v>
      </c>
      <c r="AE249" s="683">
        <f t="shared" si="186"/>
        <v>47848</v>
      </c>
      <c r="AF249" s="683">
        <f t="shared" si="186"/>
        <v>48213</v>
      </c>
      <c r="AG249" s="683">
        <f t="shared" si="186"/>
        <v>48579</v>
      </c>
      <c r="AH249" s="683">
        <f t="shared" si="186"/>
        <v>48944</v>
      </c>
      <c r="AI249" s="683">
        <f t="shared" si="186"/>
        <v>49309</v>
      </c>
      <c r="AJ249" s="683">
        <f t="shared" si="186"/>
        <v>49674</v>
      </c>
      <c r="AK249" s="683">
        <f t="shared" si="186"/>
        <v>50040</v>
      </c>
      <c r="AL249" s="683">
        <f t="shared" si="186"/>
        <v>50405</v>
      </c>
      <c r="AM249" s="683">
        <f t="shared" si="186"/>
        <v>50770</v>
      </c>
      <c r="AN249" s="683">
        <f t="shared" si="186"/>
        <v>51135</v>
      </c>
      <c r="AO249" s="683">
        <f t="shared" si="186"/>
        <v>51501</v>
      </c>
      <c r="AP249" s="683">
        <f t="shared" si="186"/>
        <v>51866</v>
      </c>
      <c r="AQ249" s="683">
        <f t="shared" si="186"/>
        <v>52231</v>
      </c>
      <c r="AR249" s="683">
        <f t="shared" si="186"/>
        <v>52596</v>
      </c>
      <c r="AS249" s="683">
        <f t="shared" si="186"/>
        <v>52962</v>
      </c>
      <c r="AT249" s="683">
        <f t="shared" si="186"/>
        <v>53327</v>
      </c>
      <c r="AU249" s="683">
        <f t="shared" si="186"/>
        <v>53692</v>
      </c>
      <c r="AV249" s="683">
        <f t="shared" si="186"/>
        <v>54057</v>
      </c>
      <c r="AW249" s="683">
        <f t="shared" si="186"/>
        <v>54423</v>
      </c>
      <c r="AX249" s="683">
        <f t="shared" si="186"/>
        <v>54788</v>
      </c>
      <c r="AY249" s="683">
        <f t="shared" si="186"/>
        <v>55153</v>
      </c>
      <c r="AZ249" s="683">
        <f t="shared" si="186"/>
        <v>55518</v>
      </c>
      <c r="BA249" s="683">
        <f t="shared" si="186"/>
        <v>55884</v>
      </c>
      <c r="BB249" s="683">
        <f t="shared" si="186"/>
        <v>56249</v>
      </c>
      <c r="BC249" s="683">
        <f t="shared" si="186"/>
        <v>56614</v>
      </c>
      <c r="BD249" s="683">
        <f t="shared" si="186"/>
        <v>56979</v>
      </c>
      <c r="BE249" s="683">
        <f t="shared" si="186"/>
        <v>57345</v>
      </c>
      <c r="BF249" s="683">
        <f t="shared" si="186"/>
        <v>57710</v>
      </c>
      <c r="BG249" s="683">
        <f t="shared" si="186"/>
        <v>58075</v>
      </c>
      <c r="BH249" s="683">
        <f t="shared" si="186"/>
        <v>58440</v>
      </c>
      <c r="BI249" s="683">
        <f t="shared" si="186"/>
        <v>58806</v>
      </c>
    </row>
    <row r="250" spans="1:61" ht="30">
      <c r="A250" s="8" t="str">
        <f>"LV ogółem, prędkość "&amp;$S$49&amp;" km/h, teren płaski, nawierzchnia nowa"</f>
        <v>LV ogółem, prędkość 61-70 km/h, teren płaski, nawierzchnia nowa</v>
      </c>
      <c r="B250" s="129" t="s">
        <v>42</v>
      </c>
      <c r="C250" s="13"/>
      <c r="D250" s="13"/>
      <c r="E250" s="13"/>
      <c r="F250" s="13"/>
      <c r="G250" s="13"/>
      <c r="H250" s="13"/>
      <c r="I250" s="13"/>
      <c r="J250" s="13"/>
      <c r="K250" s="13"/>
      <c r="L250" s="13"/>
      <c r="M250" s="13"/>
      <c r="N250" s="13"/>
      <c r="O250" s="13"/>
      <c r="P250" s="13"/>
      <c r="Q250" s="93"/>
      <c r="R250" s="93"/>
      <c r="S250" s="93"/>
      <c r="T250" s="10">
        <f t="shared" ref="T250:BI250" si="187">T$116*U$8+T$237*U$11</f>
        <v>6.4255041154571757E-2</v>
      </c>
      <c r="U250" s="10">
        <f t="shared" si="187"/>
        <v>6.6387954586645218E-2</v>
      </c>
      <c r="V250" s="10">
        <f t="shared" si="187"/>
        <v>8.4525378506403556E-2</v>
      </c>
      <c r="W250" s="10">
        <f t="shared" si="187"/>
        <v>9.923967075156695E-2</v>
      </c>
      <c r="X250" s="10">
        <f t="shared" si="187"/>
        <v>0.11391171445852089</v>
      </c>
      <c r="Y250" s="10">
        <f t="shared" si="187"/>
        <v>0.12853660707973208</v>
      </c>
      <c r="Z250" s="10">
        <f t="shared" si="187"/>
        <v>0.14303716050347495</v>
      </c>
      <c r="AA250" s="10">
        <f t="shared" si="187"/>
        <v>0.15744308163416268</v>
      </c>
      <c r="AB250" s="10">
        <f t="shared" si="187"/>
        <v>0.17174308426404752</v>
      </c>
      <c r="AC250" s="10">
        <f t="shared" si="187"/>
        <v>0.18592588218538184</v>
      </c>
      <c r="AD250" s="10">
        <f t="shared" si="187"/>
        <v>0.19998018919041788</v>
      </c>
      <c r="AE250" s="10">
        <f t="shared" si="187"/>
        <v>0.21325148977231254</v>
      </c>
      <c r="AF250" s="10">
        <f t="shared" si="187"/>
        <v>0.23544947487297496</v>
      </c>
      <c r="AG250" s="10">
        <f t="shared" si="187"/>
        <v>0.25706688754740109</v>
      </c>
      <c r="AH250" s="10">
        <f t="shared" si="187"/>
        <v>0.27803759566215142</v>
      </c>
      <c r="AI250" s="10">
        <f t="shared" si="187"/>
        <v>0.2982954670837864</v>
      </c>
      <c r="AJ250" s="10">
        <f t="shared" si="187"/>
        <v>0.31861303538026187</v>
      </c>
      <c r="AK250" s="10">
        <f t="shared" si="187"/>
        <v>0.3375442366107092</v>
      </c>
      <c r="AL250" s="10">
        <f t="shared" si="187"/>
        <v>0.35587795573581998</v>
      </c>
      <c r="AM250" s="10">
        <f t="shared" si="187"/>
        <v>0.37357905708898292</v>
      </c>
      <c r="AN250" s="10">
        <f t="shared" si="187"/>
        <v>0.39061240500358646</v>
      </c>
      <c r="AO250" s="10">
        <f t="shared" si="187"/>
        <v>0.40889748136655202</v>
      </c>
      <c r="AP250" s="10">
        <f t="shared" si="187"/>
        <v>0.42688502239602222</v>
      </c>
      <c r="AQ250" s="10">
        <f t="shared" si="187"/>
        <v>0.44457502809199706</v>
      </c>
      <c r="AR250" s="10">
        <f t="shared" si="187"/>
        <v>0.46196749845447654</v>
      </c>
      <c r="AS250" s="10">
        <f t="shared" si="187"/>
        <v>0.47906243348346067</v>
      </c>
      <c r="AT250" s="10">
        <f t="shared" si="187"/>
        <v>0.49585983317894944</v>
      </c>
      <c r="AU250" s="10">
        <f t="shared" si="187"/>
        <v>0.5131054904049035</v>
      </c>
      <c r="AV250" s="10">
        <f t="shared" si="187"/>
        <v>0.53004259247019558</v>
      </c>
      <c r="AW250" s="10">
        <f t="shared" si="187"/>
        <v>0.54667113937482592</v>
      </c>
      <c r="AX250" s="10">
        <f t="shared" si="187"/>
        <v>0.56299113111879517</v>
      </c>
      <c r="AY250" s="10">
        <f t="shared" si="187"/>
        <v>0.58341049856869975</v>
      </c>
      <c r="AZ250" s="10">
        <f t="shared" si="187"/>
        <v>0.58341049856869975</v>
      </c>
      <c r="BA250" s="10">
        <f t="shared" si="187"/>
        <v>0.58341049856869975</v>
      </c>
      <c r="BB250" s="10">
        <f t="shared" si="187"/>
        <v>0.58341049856869975</v>
      </c>
      <c r="BC250" s="10">
        <f t="shared" si="187"/>
        <v>0.58341049856869975</v>
      </c>
      <c r="BD250" s="10">
        <f t="shared" si="187"/>
        <v>0.58341049856869975</v>
      </c>
      <c r="BE250" s="10">
        <f t="shared" si="187"/>
        <v>0.58341049856869975</v>
      </c>
      <c r="BF250" s="10">
        <f t="shared" si="187"/>
        <v>0.58341049856869975</v>
      </c>
      <c r="BG250" s="10">
        <f t="shared" si="187"/>
        <v>0.58341049856869975</v>
      </c>
      <c r="BH250" s="10">
        <f t="shared" si="187"/>
        <v>0.58341049856869975</v>
      </c>
      <c r="BI250" s="10">
        <f t="shared" si="187"/>
        <v>0.58341049856869975</v>
      </c>
    </row>
    <row r="251" spans="1:61" ht="45">
      <c r="A251" s="8" t="str">
        <f>"HGV ogółem, prędkość "&amp;$S$49&amp;" km/h, teren płaski, nawierzchnia nowa"</f>
        <v>HGV ogółem, prędkość 61-70 km/h, teren płaski, nawierzchnia nowa</v>
      </c>
      <c r="B251" s="129" t="s">
        <v>42</v>
      </c>
      <c r="C251" s="13"/>
      <c r="D251" s="13"/>
      <c r="E251" s="13"/>
      <c r="F251" s="13"/>
      <c r="G251" s="13"/>
      <c r="H251" s="13"/>
      <c r="I251" s="13"/>
      <c r="J251" s="13"/>
      <c r="K251" s="13"/>
      <c r="L251" s="13"/>
      <c r="M251" s="13"/>
      <c r="N251" s="13"/>
      <c r="O251" s="13"/>
      <c r="P251" s="13"/>
      <c r="Q251" s="93"/>
      <c r="R251" s="93"/>
      <c r="S251" s="93"/>
      <c r="T251" s="10">
        <f t="shared" ref="T251:BI251" si="188">(T$101*($U$49*10^-6)*$U$74)*U$15+(0)*U$16</f>
        <v>0.17576586911509945</v>
      </c>
      <c r="U251" s="10">
        <f t="shared" si="188"/>
        <v>0.18174190866501283</v>
      </c>
      <c r="V251" s="10">
        <f t="shared" si="188"/>
        <v>0.23160052953340077</v>
      </c>
      <c r="W251" s="10">
        <f t="shared" si="188"/>
        <v>0.27219031305987307</v>
      </c>
      <c r="X251" s="10">
        <f t="shared" si="188"/>
        <v>0.31278009658634537</v>
      </c>
      <c r="Y251" s="10">
        <f t="shared" si="188"/>
        <v>0.35336988011281767</v>
      </c>
      <c r="Z251" s="10">
        <f t="shared" si="188"/>
        <v>0.39395966363928997</v>
      </c>
      <c r="AA251" s="10">
        <f t="shared" si="188"/>
        <v>0.43454944716576227</v>
      </c>
      <c r="AB251" s="10">
        <f t="shared" si="188"/>
        <v>0.47513923069223452</v>
      </c>
      <c r="AC251" s="10">
        <f t="shared" si="188"/>
        <v>0.51572901421870687</v>
      </c>
      <c r="AD251" s="10">
        <f t="shared" si="188"/>
        <v>0.55631879774517912</v>
      </c>
      <c r="AE251" s="10">
        <f t="shared" si="188"/>
        <v>0.59690858127165147</v>
      </c>
      <c r="AF251" s="10">
        <f t="shared" si="188"/>
        <v>0.66376234237407639</v>
      </c>
      <c r="AG251" s="10">
        <f t="shared" si="188"/>
        <v>0.73061610347650141</v>
      </c>
      <c r="AH251" s="10">
        <f t="shared" si="188"/>
        <v>0.79746986457892644</v>
      </c>
      <c r="AI251" s="10">
        <f t="shared" si="188"/>
        <v>0.86432362568135124</v>
      </c>
      <c r="AJ251" s="10">
        <f t="shared" si="188"/>
        <v>0.93117738678377615</v>
      </c>
      <c r="AK251" s="10">
        <f t="shared" si="188"/>
        <v>0.99564351356111458</v>
      </c>
      <c r="AL251" s="10">
        <f t="shared" si="188"/>
        <v>1.0601096403384529</v>
      </c>
      <c r="AM251" s="10">
        <f t="shared" si="188"/>
        <v>1.1245757671157912</v>
      </c>
      <c r="AN251" s="10">
        <f t="shared" si="188"/>
        <v>1.1890418938931295</v>
      </c>
      <c r="AO251" s="10">
        <f t="shared" si="188"/>
        <v>1.2535080206704678</v>
      </c>
      <c r="AP251" s="10">
        <f t="shared" si="188"/>
        <v>1.3179741474478064</v>
      </c>
      <c r="AQ251" s="10">
        <f t="shared" si="188"/>
        <v>1.3824402742251449</v>
      </c>
      <c r="AR251" s="10">
        <f t="shared" si="188"/>
        <v>1.4469064010024832</v>
      </c>
      <c r="AS251" s="10">
        <f t="shared" si="188"/>
        <v>1.5113725277798216</v>
      </c>
      <c r="AT251" s="10">
        <f t="shared" si="188"/>
        <v>1.5758386545571599</v>
      </c>
      <c r="AU251" s="10">
        <f t="shared" si="188"/>
        <v>1.6426924156595848</v>
      </c>
      <c r="AV251" s="10">
        <f t="shared" si="188"/>
        <v>1.7095461767620097</v>
      </c>
      <c r="AW251" s="10">
        <f t="shared" si="188"/>
        <v>1.7763999378644346</v>
      </c>
      <c r="AX251" s="10">
        <f t="shared" si="188"/>
        <v>1.8432536989668595</v>
      </c>
      <c r="AY251" s="10">
        <f t="shared" si="188"/>
        <v>1.9101074600692847</v>
      </c>
      <c r="AZ251" s="10">
        <f t="shared" si="188"/>
        <v>1.9101074600692847</v>
      </c>
      <c r="BA251" s="10">
        <f t="shared" si="188"/>
        <v>1.9101074600692847</v>
      </c>
      <c r="BB251" s="10">
        <f t="shared" si="188"/>
        <v>1.9101074600692847</v>
      </c>
      <c r="BC251" s="10">
        <f t="shared" si="188"/>
        <v>1.9101074600692847</v>
      </c>
      <c r="BD251" s="10">
        <f t="shared" si="188"/>
        <v>1.9101074600692847</v>
      </c>
      <c r="BE251" s="10">
        <f t="shared" si="188"/>
        <v>1.9101074600692847</v>
      </c>
      <c r="BF251" s="10">
        <f t="shared" si="188"/>
        <v>1.9101074600692847</v>
      </c>
      <c r="BG251" s="10">
        <f t="shared" si="188"/>
        <v>1.9101074600692847</v>
      </c>
      <c r="BH251" s="10">
        <f t="shared" si="188"/>
        <v>1.9101074600692847</v>
      </c>
      <c r="BI251" s="10">
        <f t="shared" si="188"/>
        <v>1.9101074600692847</v>
      </c>
    </row>
    <row r="252" spans="1:61"/>
  </sheetData>
  <mergeCells count="35">
    <mergeCell ref="A233:V234"/>
    <mergeCell ref="A231:V232"/>
    <mergeCell ref="A240:V241"/>
    <mergeCell ref="A244:V247"/>
    <mergeCell ref="A242:V243"/>
    <mergeCell ref="S228:Z229"/>
    <mergeCell ref="A137:V138"/>
    <mergeCell ref="A197:V198"/>
    <mergeCell ref="A211:V212"/>
    <mergeCell ref="A61:V62"/>
    <mergeCell ref="A63:V64"/>
    <mergeCell ref="A67:V68"/>
    <mergeCell ref="A69:V70"/>
    <mergeCell ref="S77:Z78"/>
    <mergeCell ref="A36:V38"/>
    <mergeCell ref="A18:V19"/>
    <mergeCell ref="A20:V21"/>
    <mergeCell ref="A26:V27"/>
    <mergeCell ref="A28:V29"/>
    <mergeCell ref="A248:A249"/>
    <mergeCell ref="A235:A236"/>
    <mergeCell ref="A97:A98"/>
    <mergeCell ref="S41:U41"/>
    <mergeCell ref="AA39:AH40"/>
    <mergeCell ref="S40:U40"/>
    <mergeCell ref="W40:Y40"/>
    <mergeCell ref="W41:Y41"/>
    <mergeCell ref="A213:A214"/>
    <mergeCell ref="P213:P214"/>
    <mergeCell ref="S39:U39"/>
    <mergeCell ref="W39:Y39"/>
    <mergeCell ref="Q213:Q214"/>
    <mergeCell ref="A114:A115"/>
    <mergeCell ref="A111:V113"/>
    <mergeCell ref="A109:V110"/>
  </mergeCells>
  <conditionalFormatting sqref="T43:T56">
    <cfRule type="colorScale" priority="4">
      <colorScale>
        <cfvo type="min"/>
        <cfvo type="percentile" val="50"/>
        <cfvo type="max"/>
        <color rgb="FF63BE7B"/>
        <color rgb="FFFFEB84"/>
        <color rgb="FFF8696B"/>
      </colorScale>
    </cfRule>
  </conditionalFormatting>
  <conditionalFormatting sqref="U43:U56">
    <cfRule type="colorScale" priority="3">
      <colorScale>
        <cfvo type="min"/>
        <cfvo type="percentile" val="50"/>
        <cfvo type="max"/>
        <color rgb="FF63BE7B"/>
        <color rgb="FFFFEB84"/>
        <color rgb="FFF8696B"/>
      </colorScale>
    </cfRule>
  </conditionalFormatting>
  <conditionalFormatting sqref="X43:X56">
    <cfRule type="colorScale" priority="2">
      <colorScale>
        <cfvo type="min"/>
        <cfvo type="percentile" val="50"/>
        <cfvo type="max"/>
        <color rgb="FF63BE7B"/>
        <color rgb="FFFFEB84"/>
        <color rgb="FFF8696B"/>
      </colorScale>
    </cfRule>
  </conditionalFormatting>
  <conditionalFormatting sqref="Y43:Y56">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8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7" width="10" bestFit="1" customWidth="1"/>
    <col min="18" max="62" width="9.140625" customWidth="1"/>
    <col min="63" max="16384" width="9.140625" hidden="1"/>
  </cols>
  <sheetData>
    <row r="1" spans="1:61" ht="21">
      <c r="A1" s="4" t="s">
        <v>47</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t="str">
        <f>Indeksacja!$A$2</f>
        <v>Dla roku bazowego 2022 właściwe do zastosowania w analizie są wartości kosztów jednostkowych określone według poziomu cenowego z końca roku poprzedniego, tzn. 2021.</v>
      </c>
    </row>
    <row r="3" spans="1:61"/>
    <row r="4" spans="1:61">
      <c r="A4" s="1" t="str">
        <f>'Zmiany klimatu (GHG) samochody'!A96</f>
        <v>Koszt jednostkowy emisji gazów cieplarnianych [PLN/t CO2e] – indeksacja w czasie (ceny realne od 2022 r.), wartości na koniec danego roku</v>
      </c>
      <c r="P4" s="14"/>
      <c r="Q4" s="14"/>
    </row>
    <row r="5" spans="1:61" s="534" customFormat="1" ht="15" customHeight="1">
      <c r="A5" s="718" t="s">
        <v>1</v>
      </c>
      <c r="B5" s="685" t="s">
        <v>328</v>
      </c>
      <c r="C5" s="671"/>
      <c r="D5" s="671"/>
      <c r="E5" s="671"/>
      <c r="F5" s="671"/>
      <c r="G5" s="671"/>
      <c r="H5" s="671"/>
      <c r="I5" s="671"/>
      <c r="J5" s="671"/>
      <c r="K5" s="671"/>
      <c r="L5" s="671"/>
      <c r="M5" s="671"/>
      <c r="N5" s="671"/>
      <c r="O5" s="671"/>
      <c r="P5" s="674"/>
      <c r="Q5" s="6"/>
      <c r="R5" s="6"/>
      <c r="S5" s="6"/>
      <c r="T5" s="6">
        <v>2020</v>
      </c>
      <c r="U5" s="6">
        <f>T5+1</f>
        <v>2021</v>
      </c>
      <c r="V5" s="6">
        <f t="shared" ref="V5:BI5" si="0">U5+1</f>
        <v>2022</v>
      </c>
      <c r="W5" s="6">
        <f t="shared" si="0"/>
        <v>2023</v>
      </c>
      <c r="X5" s="6">
        <f t="shared" si="0"/>
        <v>2024</v>
      </c>
      <c r="Y5" s="6">
        <f t="shared" si="0"/>
        <v>2025</v>
      </c>
      <c r="Z5" s="6">
        <f t="shared" si="0"/>
        <v>2026</v>
      </c>
      <c r="AA5" s="6">
        <f t="shared" si="0"/>
        <v>2027</v>
      </c>
      <c r="AB5" s="6">
        <f t="shared" si="0"/>
        <v>2028</v>
      </c>
      <c r="AC5" s="6">
        <f t="shared" si="0"/>
        <v>2029</v>
      </c>
      <c r="AD5" s="6">
        <f t="shared" si="0"/>
        <v>2030</v>
      </c>
      <c r="AE5" s="6">
        <f t="shared" si="0"/>
        <v>2031</v>
      </c>
      <c r="AF5" s="6">
        <f t="shared" si="0"/>
        <v>2032</v>
      </c>
      <c r="AG5" s="6">
        <f t="shared" si="0"/>
        <v>2033</v>
      </c>
      <c r="AH5" s="6">
        <f t="shared" si="0"/>
        <v>2034</v>
      </c>
      <c r="AI5" s="6">
        <f t="shared" si="0"/>
        <v>2035</v>
      </c>
      <c r="AJ5" s="6">
        <f t="shared" si="0"/>
        <v>2036</v>
      </c>
      <c r="AK5" s="6">
        <f t="shared" si="0"/>
        <v>2037</v>
      </c>
      <c r="AL5" s="6">
        <f t="shared" si="0"/>
        <v>2038</v>
      </c>
      <c r="AM5" s="6">
        <f t="shared" si="0"/>
        <v>2039</v>
      </c>
      <c r="AN5" s="6">
        <f t="shared" si="0"/>
        <v>2040</v>
      </c>
      <c r="AO5" s="6">
        <f t="shared" si="0"/>
        <v>2041</v>
      </c>
      <c r="AP5" s="6">
        <f t="shared" si="0"/>
        <v>2042</v>
      </c>
      <c r="AQ5" s="6">
        <f t="shared" si="0"/>
        <v>2043</v>
      </c>
      <c r="AR5" s="6">
        <f t="shared" si="0"/>
        <v>2044</v>
      </c>
      <c r="AS5" s="6">
        <f t="shared" si="0"/>
        <v>2045</v>
      </c>
      <c r="AT5" s="6">
        <f t="shared" si="0"/>
        <v>2046</v>
      </c>
      <c r="AU5" s="6">
        <f t="shared" si="0"/>
        <v>2047</v>
      </c>
      <c r="AV5" s="6">
        <f t="shared" si="0"/>
        <v>2048</v>
      </c>
      <c r="AW5" s="6">
        <f t="shared" si="0"/>
        <v>2049</v>
      </c>
      <c r="AX5" s="6">
        <f t="shared" si="0"/>
        <v>2050</v>
      </c>
      <c r="AY5" s="6">
        <f t="shared" si="0"/>
        <v>2051</v>
      </c>
      <c r="AZ5" s="6">
        <f t="shared" si="0"/>
        <v>2052</v>
      </c>
      <c r="BA5" s="6">
        <f t="shared" si="0"/>
        <v>2053</v>
      </c>
      <c r="BB5" s="6">
        <f t="shared" si="0"/>
        <v>2054</v>
      </c>
      <c r="BC5" s="6">
        <f t="shared" si="0"/>
        <v>2055</v>
      </c>
      <c r="BD5" s="6">
        <f t="shared" si="0"/>
        <v>2056</v>
      </c>
      <c r="BE5" s="6">
        <f t="shared" si="0"/>
        <v>2057</v>
      </c>
      <c r="BF5" s="6">
        <f t="shared" si="0"/>
        <v>2058</v>
      </c>
      <c r="BG5" s="6">
        <f t="shared" si="0"/>
        <v>2059</v>
      </c>
      <c r="BH5" s="6">
        <f t="shared" si="0"/>
        <v>2060</v>
      </c>
      <c r="BI5" s="6">
        <f t="shared" si="0"/>
        <v>2061</v>
      </c>
    </row>
    <row r="6" spans="1:61">
      <c r="A6" s="719"/>
      <c r="B6" s="686" t="s">
        <v>530</v>
      </c>
      <c r="C6" s="681"/>
      <c r="D6" s="681"/>
      <c r="E6" s="681"/>
      <c r="F6" s="681"/>
      <c r="G6" s="681"/>
      <c r="H6" s="681"/>
      <c r="I6" s="681"/>
      <c r="J6" s="681"/>
      <c r="K6" s="681"/>
      <c r="L6" s="681"/>
      <c r="M6" s="681"/>
      <c r="N6" s="681"/>
      <c r="O6" s="681"/>
      <c r="P6" s="687"/>
      <c r="Q6" s="683">
        <f>DATE(2016,12,31)</f>
        <v>42735</v>
      </c>
      <c r="R6" s="683">
        <f>DATE(YEAR(Q6+1),12,31)</f>
        <v>43100</v>
      </c>
      <c r="S6" s="683">
        <f t="shared" ref="S6" si="1">DATE(YEAR(R6+1),12,31)</f>
        <v>43465</v>
      </c>
      <c r="T6" s="683">
        <f>DATE(YEAR(S6+1),12,31)</f>
        <v>43830</v>
      </c>
      <c r="U6" s="683">
        <f t="shared" ref="U6:BI6" si="2">DATE(YEAR(T6+1),12,31)</f>
        <v>44196</v>
      </c>
      <c r="V6" s="683">
        <f t="shared" si="2"/>
        <v>44561</v>
      </c>
      <c r="W6" s="683">
        <f t="shared" si="2"/>
        <v>44926</v>
      </c>
      <c r="X6" s="683">
        <f t="shared" si="2"/>
        <v>45291</v>
      </c>
      <c r="Y6" s="683">
        <f t="shared" si="2"/>
        <v>45657</v>
      </c>
      <c r="Z6" s="683">
        <f t="shared" si="2"/>
        <v>46022</v>
      </c>
      <c r="AA6" s="683">
        <f t="shared" si="2"/>
        <v>46387</v>
      </c>
      <c r="AB6" s="683">
        <f t="shared" si="2"/>
        <v>46752</v>
      </c>
      <c r="AC6" s="683">
        <f t="shared" si="2"/>
        <v>47118</v>
      </c>
      <c r="AD6" s="683">
        <f t="shared" si="2"/>
        <v>47483</v>
      </c>
      <c r="AE6" s="683">
        <f t="shared" si="2"/>
        <v>47848</v>
      </c>
      <c r="AF6" s="683">
        <f t="shared" si="2"/>
        <v>48213</v>
      </c>
      <c r="AG6" s="683">
        <f t="shared" si="2"/>
        <v>48579</v>
      </c>
      <c r="AH6" s="683">
        <f t="shared" si="2"/>
        <v>48944</v>
      </c>
      <c r="AI6" s="683">
        <f t="shared" si="2"/>
        <v>49309</v>
      </c>
      <c r="AJ6" s="683">
        <f t="shared" si="2"/>
        <v>49674</v>
      </c>
      <c r="AK6" s="683">
        <f t="shared" si="2"/>
        <v>50040</v>
      </c>
      <c r="AL6" s="683">
        <f t="shared" si="2"/>
        <v>50405</v>
      </c>
      <c r="AM6" s="683">
        <f t="shared" si="2"/>
        <v>50770</v>
      </c>
      <c r="AN6" s="683">
        <f t="shared" si="2"/>
        <v>51135</v>
      </c>
      <c r="AO6" s="683">
        <f t="shared" si="2"/>
        <v>51501</v>
      </c>
      <c r="AP6" s="683">
        <f t="shared" si="2"/>
        <v>51866</v>
      </c>
      <c r="AQ6" s="683">
        <f t="shared" si="2"/>
        <v>52231</v>
      </c>
      <c r="AR6" s="683">
        <f t="shared" si="2"/>
        <v>52596</v>
      </c>
      <c r="AS6" s="683">
        <f t="shared" si="2"/>
        <v>52962</v>
      </c>
      <c r="AT6" s="683">
        <f t="shared" si="2"/>
        <v>53327</v>
      </c>
      <c r="AU6" s="683">
        <f t="shared" si="2"/>
        <v>53692</v>
      </c>
      <c r="AV6" s="683">
        <f t="shared" si="2"/>
        <v>54057</v>
      </c>
      <c r="AW6" s="683">
        <f t="shared" si="2"/>
        <v>54423</v>
      </c>
      <c r="AX6" s="683">
        <f t="shared" si="2"/>
        <v>54788</v>
      </c>
      <c r="AY6" s="683">
        <f t="shared" si="2"/>
        <v>55153</v>
      </c>
      <c r="AZ6" s="683">
        <f t="shared" si="2"/>
        <v>55518</v>
      </c>
      <c r="BA6" s="683">
        <f t="shared" si="2"/>
        <v>55884</v>
      </c>
      <c r="BB6" s="683">
        <f t="shared" si="2"/>
        <v>56249</v>
      </c>
      <c r="BC6" s="683">
        <f t="shared" si="2"/>
        <v>56614</v>
      </c>
      <c r="BD6" s="683">
        <f t="shared" si="2"/>
        <v>56979</v>
      </c>
      <c r="BE6" s="683">
        <f t="shared" si="2"/>
        <v>57345</v>
      </c>
      <c r="BF6" s="683">
        <f t="shared" si="2"/>
        <v>57710</v>
      </c>
      <c r="BG6" s="683">
        <f t="shared" si="2"/>
        <v>58075</v>
      </c>
      <c r="BH6" s="683">
        <f t="shared" si="2"/>
        <v>58440</v>
      </c>
      <c r="BI6" s="683">
        <f t="shared" si="2"/>
        <v>58806</v>
      </c>
    </row>
    <row r="7" spans="1:61" ht="33">
      <c r="A7" s="8" t="s">
        <v>707</v>
      </c>
      <c r="B7" s="3"/>
      <c r="C7" s="3"/>
      <c r="D7" s="3"/>
      <c r="E7" s="3"/>
      <c r="F7" s="3"/>
      <c r="G7" s="3"/>
      <c r="H7" s="3"/>
      <c r="I7" s="3"/>
      <c r="J7" s="3"/>
      <c r="K7" s="3"/>
      <c r="L7" s="3"/>
      <c r="M7" s="3"/>
      <c r="N7" s="3"/>
      <c r="O7" s="3"/>
      <c r="P7" s="3"/>
      <c r="Q7" s="92">
        <f>'Zmiany klimatu (GHG) samochody'!Q99</f>
        <v>80</v>
      </c>
      <c r="R7" s="120">
        <f>'Zmiany klimatu (GHG) samochody'!R99</f>
        <v>80</v>
      </c>
      <c r="S7" s="7">
        <f>'Zmiany klimatu (GHG) samochody'!S99</f>
        <v>80</v>
      </c>
      <c r="T7" s="121">
        <f>'Zmiany klimatu (GHG) samochody'!T99</f>
        <v>80</v>
      </c>
      <c r="U7" s="122">
        <f>'Zmiany klimatu (GHG) samochody'!U99</f>
        <v>80</v>
      </c>
      <c r="V7" s="120">
        <f>'Zmiany klimatu (GHG) samochody'!V99</f>
        <v>97</v>
      </c>
      <c r="W7" s="7">
        <f>'Zmiany klimatu (GHG) samochody'!W99</f>
        <v>114</v>
      </c>
      <c r="X7" s="7">
        <f>'Zmiany klimatu (GHG) samochody'!X99</f>
        <v>131</v>
      </c>
      <c r="Y7" s="7">
        <f>'Zmiany klimatu (GHG) samochody'!Y99</f>
        <v>148</v>
      </c>
      <c r="Z7" s="122">
        <f>'Zmiany klimatu (GHG) samochody'!Z99</f>
        <v>165</v>
      </c>
      <c r="AA7" s="7">
        <f>'Zmiany klimatu (GHG) samochody'!AA99</f>
        <v>182</v>
      </c>
      <c r="AB7" s="7">
        <f>'Zmiany klimatu (GHG) samochody'!AB99</f>
        <v>199</v>
      </c>
      <c r="AC7" s="7">
        <f>'Zmiany klimatu (GHG) samochody'!AC99</f>
        <v>216</v>
      </c>
      <c r="AD7" s="7">
        <f>'Zmiany klimatu (GHG) samochody'!AD99</f>
        <v>233</v>
      </c>
      <c r="AE7" s="122">
        <f>'Zmiany klimatu (GHG) samochody'!AE99</f>
        <v>250</v>
      </c>
      <c r="AF7" s="7">
        <f>'Zmiany klimatu (GHG) samochody'!AF99</f>
        <v>278</v>
      </c>
      <c r="AG7" s="7">
        <f>'Zmiany klimatu (GHG) samochody'!AG99</f>
        <v>306</v>
      </c>
      <c r="AH7" s="7">
        <f>'Zmiany klimatu (GHG) samochody'!AH99</f>
        <v>334</v>
      </c>
      <c r="AI7" s="7">
        <f>'Zmiany klimatu (GHG) samochody'!AI99</f>
        <v>362</v>
      </c>
      <c r="AJ7" s="122">
        <f>'Zmiany klimatu (GHG) samochody'!AJ99</f>
        <v>390</v>
      </c>
      <c r="AK7" s="7">
        <f>'Zmiany klimatu (GHG) samochody'!AK99</f>
        <v>417</v>
      </c>
      <c r="AL7" s="7">
        <f>'Zmiany klimatu (GHG) samochody'!AL99</f>
        <v>444</v>
      </c>
      <c r="AM7" s="7">
        <f>'Zmiany klimatu (GHG) samochody'!AM99</f>
        <v>471</v>
      </c>
      <c r="AN7" s="7">
        <f>'Zmiany klimatu (GHG) samochody'!AN99</f>
        <v>498</v>
      </c>
      <c r="AO7" s="122">
        <f>'Zmiany klimatu (GHG) samochody'!AO99</f>
        <v>525</v>
      </c>
      <c r="AP7" s="7">
        <f>'Zmiany klimatu (GHG) samochody'!AP99</f>
        <v>552</v>
      </c>
      <c r="AQ7" s="7">
        <f>'Zmiany klimatu (GHG) samochody'!AQ99</f>
        <v>579</v>
      </c>
      <c r="AR7" s="7">
        <f>'Zmiany klimatu (GHG) samochody'!AR99</f>
        <v>606</v>
      </c>
      <c r="AS7" s="7">
        <f>'Zmiany klimatu (GHG) samochody'!AS99</f>
        <v>633</v>
      </c>
      <c r="AT7" s="122">
        <f>'Zmiany klimatu (GHG) samochody'!AT99</f>
        <v>660</v>
      </c>
      <c r="AU7" s="7">
        <f>'Zmiany klimatu (GHG) samochody'!AU99</f>
        <v>688</v>
      </c>
      <c r="AV7" s="7">
        <f>'Zmiany klimatu (GHG) samochody'!AV99</f>
        <v>716</v>
      </c>
      <c r="AW7" s="7">
        <f>'Zmiany klimatu (GHG) samochody'!AW99</f>
        <v>744</v>
      </c>
      <c r="AX7" s="7">
        <f>'Zmiany klimatu (GHG) samochody'!AX99</f>
        <v>772</v>
      </c>
      <c r="AY7" s="122">
        <f>'Zmiany klimatu (GHG) samochody'!AY99</f>
        <v>800</v>
      </c>
      <c r="AZ7" s="7">
        <f>'Zmiany klimatu (GHG) samochody'!AZ99</f>
        <v>800</v>
      </c>
      <c r="BA7" s="7">
        <f>'Zmiany klimatu (GHG) samochody'!BA99</f>
        <v>800</v>
      </c>
      <c r="BB7" s="7">
        <f>'Zmiany klimatu (GHG) samochody'!BB99</f>
        <v>800</v>
      </c>
      <c r="BC7" s="7">
        <f>'Zmiany klimatu (GHG) samochody'!BC99</f>
        <v>800</v>
      </c>
      <c r="BD7" s="7">
        <f>'Zmiany klimatu (GHG) samochody'!BD99</f>
        <v>800</v>
      </c>
      <c r="BE7" s="7">
        <f>'Zmiany klimatu (GHG) samochody'!BE99</f>
        <v>800</v>
      </c>
      <c r="BF7" s="7">
        <f>'Zmiany klimatu (GHG) samochody'!BF99</f>
        <v>800</v>
      </c>
      <c r="BG7" s="7">
        <f>'Zmiany klimatu (GHG) samochody'!BG99</f>
        <v>800</v>
      </c>
      <c r="BH7" s="7">
        <f>'Zmiany klimatu (GHG) samochody'!BH99</f>
        <v>800</v>
      </c>
      <c r="BI7" s="7">
        <f>'Zmiany klimatu (GHG) samochody'!BI99</f>
        <v>800</v>
      </c>
    </row>
    <row r="8" spans="1:61">
      <c r="A8" s="15" t="s">
        <v>708</v>
      </c>
      <c r="B8" s="16"/>
      <c r="C8" s="16"/>
      <c r="D8" s="16"/>
      <c r="E8" s="16"/>
      <c r="F8" s="16"/>
      <c r="G8" s="16"/>
      <c r="H8" s="16"/>
      <c r="I8" s="16"/>
      <c r="J8" s="16"/>
      <c r="K8" s="16"/>
      <c r="L8" s="16"/>
      <c r="M8" s="16"/>
      <c r="N8" s="16"/>
      <c r="O8" s="16"/>
      <c r="P8" s="16"/>
      <c r="Q8" s="18"/>
      <c r="R8" s="17">
        <f t="shared" ref="R8:BI8" si="3">R7-Q7</f>
        <v>0</v>
      </c>
      <c r="S8" s="17">
        <f t="shared" si="3"/>
        <v>0</v>
      </c>
      <c r="T8" s="17">
        <f t="shared" si="3"/>
        <v>0</v>
      </c>
      <c r="U8" s="17">
        <f t="shared" si="3"/>
        <v>0</v>
      </c>
      <c r="V8" s="17">
        <f t="shared" si="3"/>
        <v>17</v>
      </c>
      <c r="W8" s="17">
        <f t="shared" si="3"/>
        <v>17</v>
      </c>
      <c r="X8" s="17">
        <f t="shared" si="3"/>
        <v>17</v>
      </c>
      <c r="Y8" s="17">
        <f t="shared" si="3"/>
        <v>17</v>
      </c>
      <c r="Z8" s="17">
        <f t="shared" si="3"/>
        <v>17</v>
      </c>
      <c r="AA8" s="17">
        <f t="shared" si="3"/>
        <v>17</v>
      </c>
      <c r="AB8" s="17">
        <f t="shared" si="3"/>
        <v>17</v>
      </c>
      <c r="AC8" s="17">
        <f t="shared" si="3"/>
        <v>17</v>
      </c>
      <c r="AD8" s="17">
        <f t="shared" si="3"/>
        <v>17</v>
      </c>
      <c r="AE8" s="17">
        <f t="shared" si="3"/>
        <v>17</v>
      </c>
      <c r="AF8" s="17">
        <f t="shared" si="3"/>
        <v>28</v>
      </c>
      <c r="AG8" s="17">
        <f t="shared" si="3"/>
        <v>28</v>
      </c>
      <c r="AH8" s="17">
        <f t="shared" si="3"/>
        <v>28</v>
      </c>
      <c r="AI8" s="17">
        <f t="shared" si="3"/>
        <v>28</v>
      </c>
      <c r="AJ8" s="17">
        <f t="shared" si="3"/>
        <v>28</v>
      </c>
      <c r="AK8" s="17">
        <f t="shared" si="3"/>
        <v>27</v>
      </c>
      <c r="AL8" s="17">
        <f t="shared" si="3"/>
        <v>27</v>
      </c>
      <c r="AM8" s="17">
        <f t="shared" si="3"/>
        <v>27</v>
      </c>
      <c r="AN8" s="17">
        <f t="shared" si="3"/>
        <v>27</v>
      </c>
      <c r="AO8" s="17">
        <f t="shared" si="3"/>
        <v>27</v>
      </c>
      <c r="AP8" s="17">
        <f t="shared" si="3"/>
        <v>27</v>
      </c>
      <c r="AQ8" s="17">
        <f t="shared" si="3"/>
        <v>27</v>
      </c>
      <c r="AR8" s="17">
        <f t="shared" si="3"/>
        <v>27</v>
      </c>
      <c r="AS8" s="17">
        <f t="shared" si="3"/>
        <v>27</v>
      </c>
      <c r="AT8" s="17">
        <f t="shared" si="3"/>
        <v>27</v>
      </c>
      <c r="AU8" s="17">
        <f t="shared" si="3"/>
        <v>28</v>
      </c>
      <c r="AV8" s="17">
        <f t="shared" si="3"/>
        <v>28</v>
      </c>
      <c r="AW8" s="17">
        <f t="shared" si="3"/>
        <v>28</v>
      </c>
      <c r="AX8" s="17">
        <f t="shared" si="3"/>
        <v>28</v>
      </c>
      <c r="AY8" s="17">
        <f t="shared" si="3"/>
        <v>28</v>
      </c>
      <c r="AZ8" s="17">
        <f t="shared" si="3"/>
        <v>0</v>
      </c>
      <c r="BA8" s="17">
        <f t="shared" si="3"/>
        <v>0</v>
      </c>
      <c r="BB8" s="17">
        <f t="shared" si="3"/>
        <v>0</v>
      </c>
      <c r="BC8" s="17">
        <f t="shared" si="3"/>
        <v>0</v>
      </c>
      <c r="BD8" s="17">
        <f t="shared" si="3"/>
        <v>0</v>
      </c>
      <c r="BE8" s="17">
        <f t="shared" si="3"/>
        <v>0</v>
      </c>
      <c r="BF8" s="17">
        <f t="shared" si="3"/>
        <v>0</v>
      </c>
      <c r="BG8" s="17">
        <f t="shared" si="3"/>
        <v>0</v>
      </c>
      <c r="BH8" s="17">
        <f t="shared" si="3"/>
        <v>0</v>
      </c>
      <c r="BI8" s="17">
        <f t="shared" si="3"/>
        <v>0</v>
      </c>
    </row>
    <row r="9" spans="1:61" ht="48">
      <c r="A9" s="8" t="s">
        <v>41</v>
      </c>
      <c r="B9" s="3"/>
      <c r="C9" s="3"/>
      <c r="D9" s="3"/>
      <c r="E9" s="3"/>
      <c r="F9" s="3"/>
      <c r="G9" s="3"/>
      <c r="H9" s="3"/>
      <c r="I9" s="3"/>
      <c r="J9" s="3"/>
      <c r="K9" s="3"/>
      <c r="L9" s="3"/>
      <c r="M9" s="3"/>
      <c r="N9" s="3"/>
      <c r="O9" s="3"/>
      <c r="P9" s="3"/>
      <c r="Q9" s="7">
        <f>'Zmiany klimatu (GHG) samochody'!Q101</f>
        <v>349.05599999999998</v>
      </c>
      <c r="R9" s="7">
        <f>'Zmiany klimatu (GHG) samochody'!R101</f>
        <v>356.03712000000002</v>
      </c>
      <c r="S9" s="7">
        <f>'Zmiany klimatu (GHG) samochody'!S101</f>
        <v>361.73371392000001</v>
      </c>
      <c r="T9" s="7">
        <f>'Zmiany klimatu (GHG) samochody'!T101</f>
        <v>370.05358934015999</v>
      </c>
      <c r="U9" s="7">
        <f>'Zmiany klimatu (GHG) samochody'!U101</f>
        <v>382.6354113777254</v>
      </c>
      <c r="V9" s="7">
        <f>'Zmiany klimatu (GHG) samochody'!V101</f>
        <v>487.60665354656209</v>
      </c>
      <c r="W9" s="7">
        <f>'Zmiany klimatu (GHG) samochody'!W101</f>
        <v>573.06348973513491</v>
      </c>
      <c r="X9" s="7">
        <f>'Zmiany klimatu (GHG) samochody'!X101</f>
        <v>658.52032592370756</v>
      </c>
      <c r="Y9" s="7">
        <f>'Zmiany klimatu (GHG) samochody'!Y101</f>
        <v>743.97716211228033</v>
      </c>
      <c r="Z9" s="7">
        <f>'Zmiany klimatu (GHG) samochody'!Z101</f>
        <v>829.43399830085309</v>
      </c>
      <c r="AA9" s="7">
        <f>'Zmiany klimatu (GHG) samochody'!AA101</f>
        <v>914.89083448942586</v>
      </c>
      <c r="AB9" s="7">
        <f>'Zmiany klimatu (GHG) samochody'!AB101</f>
        <v>1000.3476706779985</v>
      </c>
      <c r="AC9" s="7">
        <f>'Zmiany klimatu (GHG) samochody'!AC101</f>
        <v>1085.8045068665713</v>
      </c>
      <c r="AD9" s="7">
        <f>'Zmiany klimatu (GHG) samochody'!AD101</f>
        <v>1171.2613430551439</v>
      </c>
      <c r="AE9" s="7">
        <f>'Zmiany klimatu (GHG) samochody'!AE101</f>
        <v>1256.7181792437168</v>
      </c>
      <c r="AF9" s="7">
        <f>'Zmiany klimatu (GHG) samochody'!AF101</f>
        <v>1397.4706153190129</v>
      </c>
      <c r="AG9" s="7">
        <f>'Zmiany klimatu (GHG) samochody'!AG101</f>
        <v>1538.2230513943093</v>
      </c>
      <c r="AH9" s="7">
        <f>'Zmiany klimatu (GHG) samochody'!AH101</f>
        <v>1678.9754874696057</v>
      </c>
      <c r="AI9" s="7">
        <f>'Zmiany klimatu (GHG) samochody'!AI101</f>
        <v>1819.7279235449018</v>
      </c>
      <c r="AJ9" s="7">
        <f>'Zmiany klimatu (GHG) samochody'!AJ101</f>
        <v>1960.480359620198</v>
      </c>
      <c r="AK9" s="7">
        <f>'Zmiany klimatu (GHG) samochody'!AK101</f>
        <v>2096.2059229785195</v>
      </c>
      <c r="AL9" s="7">
        <f>'Zmiany klimatu (GHG) samochody'!AL101</f>
        <v>2231.9314863368409</v>
      </c>
      <c r="AM9" s="7">
        <f>'Zmiany klimatu (GHG) samochody'!AM101</f>
        <v>2367.6570496951622</v>
      </c>
      <c r="AN9" s="7">
        <f>'Zmiany klimatu (GHG) samochody'!AN101</f>
        <v>2503.3826130534835</v>
      </c>
      <c r="AO9" s="7">
        <f>'Zmiany klimatu (GHG) samochody'!AO101</f>
        <v>2639.1081764118048</v>
      </c>
      <c r="AP9" s="7">
        <f>'Zmiany klimatu (GHG) samochody'!AP101</f>
        <v>2774.8337397701266</v>
      </c>
      <c r="AQ9" s="7">
        <f>'Zmiany klimatu (GHG) samochody'!AQ101</f>
        <v>2910.5593031284484</v>
      </c>
      <c r="AR9" s="7">
        <f>'Zmiany klimatu (GHG) samochody'!AR101</f>
        <v>3046.2848664867697</v>
      </c>
      <c r="AS9" s="7">
        <f>'Zmiany klimatu (GHG) samochody'!AS101</f>
        <v>3182.010429845091</v>
      </c>
      <c r="AT9" s="7">
        <f>'Zmiany klimatu (GHG) samochody'!AT101</f>
        <v>3317.7359932034124</v>
      </c>
      <c r="AU9" s="7">
        <f>'Zmiany klimatu (GHG) samochody'!AU101</f>
        <v>3458.4884292787087</v>
      </c>
      <c r="AV9" s="7">
        <f>'Zmiany klimatu (GHG) samochody'!AV101</f>
        <v>3599.2408653540047</v>
      </c>
      <c r="AW9" s="7">
        <f>'Zmiany klimatu (GHG) samochody'!AW101</f>
        <v>3739.993301429301</v>
      </c>
      <c r="AX9" s="7">
        <f>'Zmiany klimatu (GHG) samochody'!AX101</f>
        <v>3880.7457375045969</v>
      </c>
      <c r="AY9" s="7">
        <f>'Zmiany klimatu (GHG) samochody'!AY101</f>
        <v>4021.4981735798938</v>
      </c>
      <c r="AZ9" s="7">
        <f>'Zmiany klimatu (GHG) samochody'!AZ101</f>
        <v>4021.4981735798938</v>
      </c>
      <c r="BA9" s="7">
        <f>'Zmiany klimatu (GHG) samochody'!BA101</f>
        <v>4021.4981735798938</v>
      </c>
      <c r="BB9" s="7">
        <f>'Zmiany klimatu (GHG) samochody'!BB101</f>
        <v>4021.4981735798938</v>
      </c>
      <c r="BC9" s="7">
        <f>'Zmiany klimatu (GHG) samochody'!BC101</f>
        <v>4021.4981735798938</v>
      </c>
      <c r="BD9" s="7">
        <f>'Zmiany klimatu (GHG) samochody'!BD101</f>
        <v>4021.4981735798938</v>
      </c>
      <c r="BE9" s="7">
        <f>'Zmiany klimatu (GHG) samochody'!BE101</f>
        <v>4021.4981735798938</v>
      </c>
      <c r="BF9" s="7">
        <f>'Zmiany klimatu (GHG) samochody'!BF101</f>
        <v>4021.4981735798938</v>
      </c>
      <c r="BG9" s="7">
        <f>'Zmiany klimatu (GHG) samochody'!BG101</f>
        <v>4021.4981735798938</v>
      </c>
      <c r="BH9" s="7">
        <f>'Zmiany klimatu (GHG) samochody'!BH101</f>
        <v>4021.4981735798938</v>
      </c>
      <c r="BI9" s="7">
        <f>'Zmiany klimatu (GHG) samochody'!BI101</f>
        <v>4021.4981735798938</v>
      </c>
    </row>
    <row r="10" spans="1:61" ht="18">
      <c r="A10" s="35" t="s">
        <v>709</v>
      </c>
    </row>
    <row r="11" spans="1:61" s="613" customFormat="1">
      <c r="A11" s="35"/>
    </row>
    <row r="12" spans="1:61" s="613" customFormat="1">
      <c r="A12" s="35"/>
    </row>
    <row r="13" spans="1:61" s="613" customFormat="1" ht="18">
      <c r="A13" s="132" t="s">
        <v>710</v>
      </c>
      <c r="B13" s="132"/>
      <c r="C13" s="132"/>
      <c r="D13" s="132"/>
      <c r="E13" s="132"/>
      <c r="F13" s="132"/>
      <c r="G13" s="132"/>
      <c r="H13" s="132"/>
      <c r="I13" s="132"/>
      <c r="J13" s="132"/>
      <c r="K13" s="132"/>
      <c r="L13" s="132"/>
      <c r="M13" s="132"/>
      <c r="N13" s="132"/>
      <c r="O13" s="132"/>
      <c r="P13" s="132"/>
      <c r="Q13" s="132"/>
    </row>
    <row r="14" spans="1:61" hidden="1" outlineLevel="1"/>
    <row r="15" spans="1:61" s="690" customFormat="1" hidden="1" outlineLevel="1"/>
    <row r="16" spans="1:61" s="690" customFormat="1" hidden="1" outlineLevel="1"/>
    <row r="17" spans="1:22" s="690" customFormat="1" hidden="1" outlineLevel="1"/>
    <row r="18" spans="1:22" s="690" customFormat="1" hidden="1" outlineLevel="1"/>
    <row r="19" spans="1:22" s="690" customFormat="1" hidden="1" outlineLevel="1"/>
    <row r="20" spans="1:22" s="690" customFormat="1" hidden="1" outlineLevel="1"/>
    <row r="21" spans="1:22" s="690" customFormat="1" hidden="1" outlineLevel="1"/>
    <row r="22" spans="1:22" s="690" customFormat="1" hidden="1" outlineLevel="1"/>
    <row r="23" spans="1:22" s="690" customFormat="1" hidden="1" outlineLevel="1"/>
    <row r="24" spans="1:22" s="690" customFormat="1" hidden="1" outlineLevel="1"/>
    <row r="25" spans="1:22" s="690" customFormat="1" hidden="1" outlineLevel="1"/>
    <row r="26" spans="1:22" s="690" customFormat="1" hidden="1" outlineLevel="1"/>
    <row r="27" spans="1:22" s="690" customFormat="1" hidden="1" outlineLevel="1"/>
    <row r="28" spans="1:22" hidden="1" outlineLevel="1">
      <c r="A28" s="206" t="str">
        <f>'Zmiany klimatu (GHG) samochody'!$A$135</f>
        <v>Krajowe wskaźniki emisyjności sieciowej energii elektrycznej</v>
      </c>
      <c r="B28" s="195"/>
      <c r="C28" s="195"/>
      <c r="D28" s="195"/>
      <c r="E28" s="195"/>
      <c r="F28" s="195"/>
      <c r="G28" s="195"/>
      <c r="H28" s="195"/>
      <c r="I28" s="195"/>
      <c r="J28" s="195"/>
      <c r="K28" s="195"/>
      <c r="L28" s="195"/>
      <c r="M28" s="195"/>
      <c r="N28" s="195"/>
      <c r="O28" s="195"/>
      <c r="P28" s="195"/>
    </row>
    <row r="29" spans="1:22" hidden="1" outlineLevel="1">
      <c r="A29" s="195" t="str">
        <f>'Zmiany klimatu (GHG) samochody'!$A$136</f>
        <v>Wskaźniki emisyjności w g CO2/kWh (=kg CO2/MWh, =tony CO2/GWh)</v>
      </c>
      <c r="B29" s="195"/>
      <c r="C29" s="195"/>
      <c r="D29" s="195"/>
      <c r="E29" s="195"/>
      <c r="F29" s="195"/>
      <c r="G29" s="195"/>
      <c r="H29" s="195"/>
      <c r="I29" s="195"/>
      <c r="J29" s="195"/>
      <c r="K29" s="195"/>
      <c r="L29" s="195"/>
      <c r="M29" s="195"/>
      <c r="N29" s="195"/>
      <c r="O29" s="195"/>
      <c r="P29" s="195"/>
    </row>
    <row r="30" spans="1:22" hidden="1" outlineLevel="1">
      <c r="A30" s="762" t="str">
        <f>'Zmiany klimatu (GHG) samochody'!$A$137</f>
        <v>Wpływ gazów cieplarnianych innych niż CO2 jest pomijalny. W związku z tym dla potrzeb obliczeń podane wskaźniki emisyjności można traktować jako dotyczące ekwiwalentu CO2.</v>
      </c>
      <c r="B30" s="762"/>
      <c r="C30" s="762"/>
      <c r="D30" s="762"/>
      <c r="E30" s="762"/>
      <c r="F30" s="762"/>
      <c r="G30" s="762"/>
      <c r="H30" s="762"/>
      <c r="I30" s="762"/>
      <c r="J30" s="762"/>
      <c r="K30" s="762"/>
      <c r="L30" s="762"/>
      <c r="M30" s="762"/>
      <c r="N30" s="762"/>
      <c r="O30" s="762"/>
      <c r="P30" s="762"/>
      <c r="Q30" s="762"/>
      <c r="R30" s="762"/>
      <c r="S30" s="762"/>
      <c r="T30" s="762"/>
      <c r="U30" s="762"/>
      <c r="V30" s="762"/>
    </row>
    <row r="31" spans="1:22" s="694" customFormat="1" hidden="1" outlineLevel="1">
      <c r="A31" s="762"/>
      <c r="B31" s="762"/>
      <c r="C31" s="762"/>
      <c r="D31" s="762"/>
      <c r="E31" s="762"/>
      <c r="F31" s="762"/>
      <c r="G31" s="762"/>
      <c r="H31" s="762"/>
      <c r="I31" s="762"/>
      <c r="J31" s="762"/>
      <c r="K31" s="762"/>
      <c r="L31" s="762"/>
      <c r="M31" s="762"/>
      <c r="N31" s="762"/>
      <c r="O31" s="762"/>
      <c r="P31" s="762"/>
      <c r="Q31" s="762"/>
      <c r="R31" s="762"/>
      <c r="S31" s="762"/>
      <c r="T31" s="762"/>
      <c r="U31" s="762"/>
      <c r="V31" s="762"/>
    </row>
    <row r="32" spans="1:22" hidden="1" outlineLevel="1"/>
    <row r="33" spans="1:61" s="602" customFormat="1" hidden="1" outlineLevel="1">
      <c r="A33" s="206" t="str">
        <f>'Zmiany klimatu (GHG) samochody'!$A$176</f>
        <v>Wskaźniki emisji CO2 w [g/kWh] dla odbiorców końcowych sieciowej energii elektrycznej</v>
      </c>
      <c r="B33" s="195"/>
      <c r="C33" s="195"/>
      <c r="D33" s="195"/>
      <c r="E33" s="195"/>
      <c r="F33" s="195"/>
      <c r="G33" s="195"/>
      <c r="H33" s="195"/>
      <c r="I33" s="195"/>
      <c r="J33" s="195"/>
      <c r="K33" s="195"/>
      <c r="L33" s="195"/>
      <c r="M33" s="195"/>
      <c r="N33" s="195"/>
      <c r="O33" s="195"/>
      <c r="P33" s="195"/>
      <c r="Q33" s="195"/>
    </row>
    <row r="34" spans="1:61" s="602" customFormat="1" hidden="1" outlineLevel="1">
      <c r="A34" s="609"/>
      <c r="B34" s="610"/>
      <c r="C34" s="610"/>
      <c r="D34" s="610"/>
      <c r="E34" s="610"/>
      <c r="F34" s="610"/>
      <c r="G34" s="610"/>
      <c r="H34" s="610"/>
      <c r="I34" s="610"/>
      <c r="J34" s="610"/>
      <c r="K34" s="610"/>
      <c r="L34" s="610"/>
      <c r="M34" s="610"/>
      <c r="N34" s="610"/>
      <c r="O34" s="610"/>
      <c r="P34" s="609"/>
      <c r="Q34" s="609"/>
      <c r="R34" s="609"/>
      <c r="S34" s="609">
        <v>2019</v>
      </c>
      <c r="T34" s="609">
        <f>S34+1</f>
        <v>2020</v>
      </c>
      <c r="U34" s="609">
        <f t="shared" ref="U34:BI34" si="4">T34+1</f>
        <v>2021</v>
      </c>
      <c r="V34" s="609">
        <f t="shared" si="4"/>
        <v>2022</v>
      </c>
      <c r="W34" s="609">
        <f t="shared" si="4"/>
        <v>2023</v>
      </c>
      <c r="X34" s="609">
        <f t="shared" si="4"/>
        <v>2024</v>
      </c>
      <c r="Y34" s="609">
        <f t="shared" si="4"/>
        <v>2025</v>
      </c>
      <c r="Z34" s="609">
        <f t="shared" si="4"/>
        <v>2026</v>
      </c>
      <c r="AA34" s="609">
        <f t="shared" si="4"/>
        <v>2027</v>
      </c>
      <c r="AB34" s="609">
        <f t="shared" si="4"/>
        <v>2028</v>
      </c>
      <c r="AC34" s="609">
        <f t="shared" si="4"/>
        <v>2029</v>
      </c>
      <c r="AD34" s="609">
        <f t="shared" si="4"/>
        <v>2030</v>
      </c>
      <c r="AE34" s="609">
        <f t="shared" si="4"/>
        <v>2031</v>
      </c>
      <c r="AF34" s="609">
        <f t="shared" si="4"/>
        <v>2032</v>
      </c>
      <c r="AG34" s="609">
        <f t="shared" si="4"/>
        <v>2033</v>
      </c>
      <c r="AH34" s="609">
        <f t="shared" si="4"/>
        <v>2034</v>
      </c>
      <c r="AI34" s="609">
        <f t="shared" si="4"/>
        <v>2035</v>
      </c>
      <c r="AJ34" s="609">
        <f t="shared" si="4"/>
        <v>2036</v>
      </c>
      <c r="AK34" s="609">
        <f t="shared" si="4"/>
        <v>2037</v>
      </c>
      <c r="AL34" s="609">
        <f t="shared" si="4"/>
        <v>2038</v>
      </c>
      <c r="AM34" s="609">
        <f t="shared" si="4"/>
        <v>2039</v>
      </c>
      <c r="AN34" s="609">
        <f t="shared" si="4"/>
        <v>2040</v>
      </c>
      <c r="AO34" s="609">
        <f t="shared" si="4"/>
        <v>2041</v>
      </c>
      <c r="AP34" s="609">
        <f t="shared" si="4"/>
        <v>2042</v>
      </c>
      <c r="AQ34" s="609">
        <f t="shared" si="4"/>
        <v>2043</v>
      </c>
      <c r="AR34" s="609">
        <f t="shared" si="4"/>
        <v>2044</v>
      </c>
      <c r="AS34" s="609">
        <f t="shared" si="4"/>
        <v>2045</v>
      </c>
      <c r="AT34" s="609">
        <f t="shared" si="4"/>
        <v>2046</v>
      </c>
      <c r="AU34" s="609">
        <f t="shared" si="4"/>
        <v>2047</v>
      </c>
      <c r="AV34" s="609">
        <f t="shared" si="4"/>
        <v>2048</v>
      </c>
      <c r="AW34" s="609">
        <f t="shared" si="4"/>
        <v>2049</v>
      </c>
      <c r="AX34" s="609">
        <f t="shared" si="4"/>
        <v>2050</v>
      </c>
      <c r="AY34" s="609">
        <f t="shared" si="4"/>
        <v>2051</v>
      </c>
      <c r="AZ34" s="609">
        <f t="shared" si="4"/>
        <v>2052</v>
      </c>
      <c r="BA34" s="609">
        <f t="shared" si="4"/>
        <v>2053</v>
      </c>
      <c r="BB34" s="609">
        <f t="shared" si="4"/>
        <v>2054</v>
      </c>
      <c r="BC34" s="609">
        <f t="shared" si="4"/>
        <v>2055</v>
      </c>
      <c r="BD34" s="609">
        <f t="shared" si="4"/>
        <v>2056</v>
      </c>
      <c r="BE34" s="609">
        <f t="shared" si="4"/>
        <v>2057</v>
      </c>
      <c r="BF34" s="609">
        <f t="shared" si="4"/>
        <v>2058</v>
      </c>
      <c r="BG34" s="609">
        <f t="shared" si="4"/>
        <v>2059</v>
      </c>
      <c r="BH34" s="609">
        <f t="shared" si="4"/>
        <v>2060</v>
      </c>
      <c r="BI34" s="609">
        <f t="shared" si="4"/>
        <v>2061</v>
      </c>
    </row>
    <row r="35" spans="1:61" s="602" customFormat="1" ht="45" hidden="1" outlineLevel="1">
      <c r="A35" s="614" t="str">
        <f>'Zmiany klimatu (GHG) samochody'!$A$178</f>
        <v>Wskaźnik emisji CO2 dla odbiorców końcowych sieciowej energii elektrycznej</v>
      </c>
      <c r="B35" s="615" t="s">
        <v>412</v>
      </c>
      <c r="C35" s="616"/>
      <c r="D35" s="616"/>
      <c r="E35" s="616"/>
      <c r="F35" s="616"/>
      <c r="G35" s="616"/>
      <c r="H35" s="616"/>
      <c r="I35" s="616"/>
      <c r="J35" s="616"/>
      <c r="K35" s="616"/>
      <c r="L35" s="616"/>
      <c r="M35" s="616"/>
      <c r="N35" s="616"/>
      <c r="O35" s="616"/>
      <c r="P35" s="616"/>
      <c r="Q35" s="616"/>
      <c r="R35" s="616"/>
      <c r="S35" s="617">
        <f>'Zmiany klimatu (GHG) samochody'!S$178</f>
        <v>719</v>
      </c>
      <c r="T35" s="618">
        <f>'Zmiany klimatu (GHG) samochody'!T$178</f>
        <v>674.45984559345266</v>
      </c>
      <c r="U35" s="616">
        <f>'Zmiany klimatu (GHG) samochody'!U$178</f>
        <v>668.68094731829376</v>
      </c>
      <c r="V35" s="616">
        <f>'Zmiany klimatu (GHG) samochody'!V$178</f>
        <v>662.90204904313487</v>
      </c>
      <c r="W35" s="616">
        <f>'Zmiany klimatu (GHG) samochody'!W$178</f>
        <v>657.12315076797597</v>
      </c>
      <c r="X35" s="616">
        <f>'Zmiany klimatu (GHG) samochody'!X$178</f>
        <v>651.34425249281708</v>
      </c>
      <c r="Y35" s="618">
        <f>'Zmiany klimatu (GHG) samochody'!Y$178</f>
        <v>645.56535421765795</v>
      </c>
      <c r="Z35" s="616">
        <f>'Zmiany klimatu (GHG) samochody'!Z$178</f>
        <v>632.26168994053501</v>
      </c>
      <c r="AA35" s="616">
        <f>'Zmiany klimatu (GHG) samochody'!AA$178</f>
        <v>618.95802566341206</v>
      </c>
      <c r="AB35" s="616">
        <f>'Zmiany klimatu (GHG) samochody'!AB$178</f>
        <v>605.65436138628911</v>
      </c>
      <c r="AC35" s="616">
        <f>'Zmiany klimatu (GHG) samochody'!AC$178</f>
        <v>592.35069710916616</v>
      </c>
      <c r="AD35" s="618">
        <f>'Zmiany klimatu (GHG) samochody'!AD$178</f>
        <v>579.0470328320431</v>
      </c>
      <c r="AE35" s="616">
        <f>'Zmiany klimatu (GHG) samochody'!AE$178</f>
        <v>552.51698383609323</v>
      </c>
      <c r="AF35" s="616">
        <f>'Zmiany klimatu (GHG) samochody'!AF$178</f>
        <v>525.98693484014336</v>
      </c>
      <c r="AG35" s="616">
        <f>'Zmiany klimatu (GHG) samochody'!AG$178</f>
        <v>499.45688584419349</v>
      </c>
      <c r="AH35" s="616">
        <f>'Zmiany klimatu (GHG) samochody'!AH$178</f>
        <v>472.92683684824362</v>
      </c>
      <c r="AI35" s="618">
        <f>'Zmiany klimatu (GHG) samochody'!AI$178</f>
        <v>446.39678785229381</v>
      </c>
      <c r="AJ35" s="616">
        <f>'Zmiany klimatu (GHG) samochody'!AJ$178</f>
        <v>431.77946014880877</v>
      </c>
      <c r="AK35" s="616">
        <f>'Zmiany klimatu (GHG) samochody'!AK$178</f>
        <v>417.16213244532372</v>
      </c>
      <c r="AL35" s="616">
        <f>'Zmiany klimatu (GHG) samochody'!AL$178</f>
        <v>402.54480474183867</v>
      </c>
      <c r="AM35" s="616">
        <f>'Zmiany klimatu (GHG) samochody'!AM$178</f>
        <v>387.92747703835363</v>
      </c>
      <c r="AN35" s="618">
        <f>'Zmiany klimatu (GHG) samochody'!AN$178</f>
        <v>373.31014933486864</v>
      </c>
      <c r="AO35" s="616">
        <f>'Zmiany klimatu (GHG) samochody'!AO$178</f>
        <v>373.31014933486864</v>
      </c>
      <c r="AP35" s="616">
        <f>'Zmiany klimatu (GHG) samochody'!AP$178</f>
        <v>373.31014933486864</v>
      </c>
      <c r="AQ35" s="616">
        <f>'Zmiany klimatu (GHG) samochody'!AQ$178</f>
        <v>373.31014933486864</v>
      </c>
      <c r="AR35" s="616">
        <f>'Zmiany klimatu (GHG) samochody'!AR$178</f>
        <v>373.31014933486864</v>
      </c>
      <c r="AS35" s="616">
        <f>'Zmiany klimatu (GHG) samochody'!AS$178</f>
        <v>373.31014933486864</v>
      </c>
      <c r="AT35" s="616">
        <f>'Zmiany klimatu (GHG) samochody'!AT$178</f>
        <v>373.31014933486864</v>
      </c>
      <c r="AU35" s="616">
        <f>'Zmiany klimatu (GHG) samochody'!AU$178</f>
        <v>373.31014933486864</v>
      </c>
      <c r="AV35" s="616">
        <f>'Zmiany klimatu (GHG) samochody'!AV$178</f>
        <v>373.31014933486864</v>
      </c>
      <c r="AW35" s="616">
        <f>'Zmiany klimatu (GHG) samochody'!AW$178</f>
        <v>373.31014933486864</v>
      </c>
      <c r="AX35" s="616">
        <f>'Zmiany klimatu (GHG) samochody'!AX$178</f>
        <v>373.31014933486864</v>
      </c>
      <c r="AY35" s="616">
        <f>'Zmiany klimatu (GHG) samochody'!AY$178</f>
        <v>373.31014933486864</v>
      </c>
      <c r="AZ35" s="616">
        <f>'Zmiany klimatu (GHG) samochody'!AZ$178</f>
        <v>373.31014933486864</v>
      </c>
      <c r="BA35" s="616">
        <f>'Zmiany klimatu (GHG) samochody'!BA$178</f>
        <v>373.31014933486864</v>
      </c>
      <c r="BB35" s="616">
        <f>'Zmiany klimatu (GHG) samochody'!BB$178</f>
        <v>373.31014933486864</v>
      </c>
      <c r="BC35" s="616">
        <f>'Zmiany klimatu (GHG) samochody'!BC$178</f>
        <v>373.31014933486864</v>
      </c>
      <c r="BD35" s="616">
        <f>'Zmiany klimatu (GHG) samochody'!BD$178</f>
        <v>373.31014933486864</v>
      </c>
      <c r="BE35" s="616">
        <f>'Zmiany klimatu (GHG) samochody'!BE$178</f>
        <v>373.31014933486864</v>
      </c>
      <c r="BF35" s="616">
        <f>'Zmiany klimatu (GHG) samochody'!BF$178</f>
        <v>373.31014933486864</v>
      </c>
      <c r="BG35" s="616">
        <f>'Zmiany klimatu (GHG) samochody'!BG$178</f>
        <v>373.31014933486864</v>
      </c>
      <c r="BH35" s="616">
        <f>'Zmiany klimatu (GHG) samochody'!BH$178</f>
        <v>373.31014933486864</v>
      </c>
      <c r="BI35" s="616">
        <f>'Zmiany klimatu (GHG) samochody'!BI$178</f>
        <v>373.31014933486864</v>
      </c>
    </row>
    <row r="36" spans="1:61" s="602" customFormat="1" hidden="1" outlineLevel="1">
      <c r="A36" s="35" t="str">
        <f>'Zmiany klimatu (GHG) samochody'!$A$181</f>
        <v xml:space="preserve">Obliczenia CUPT na podstawie: </v>
      </c>
    </row>
    <row r="37" spans="1:61" s="607" customFormat="1" hidden="1" outlineLevel="1">
      <c r="A37" s="612" t="str">
        <f>'Zmiany klimatu (GHG) samochody'!$A$182</f>
        <v xml:space="preserve">KOBiZE, Wskaźniki emisyjności CO2, SO2, NOx, CO i pyłu całkowitego dla energii elektrycznej na podstawie informacji zawartych w Krajowej bazie o emisjach gazów cieplarnianych i innych substancji za 2019 rok i analogiczny raport za rok 2010 </v>
      </c>
    </row>
    <row r="38" spans="1:61" s="607" customFormat="1" hidden="1" outlineLevel="1">
      <c r="A38" s="612" t="str">
        <f>'Zmiany klimatu (GHG) samochody'!$A$183</f>
        <v xml:space="preserve">PSE S.A., Raport roczny z funkcjonowania Krajowego Systemu Energetycznego - 2010 i 2019 r. </v>
      </c>
    </row>
    <row r="39" spans="1:61" s="607" customFormat="1" hidden="1" outlineLevel="1">
      <c r="A39" s="612" t="str">
        <f>'Zmiany klimatu (GHG) samochody'!$A$184</f>
        <v xml:space="preserve">Polityka energetyczna Polski do roku 2040 (Załącznik 2: Wnioski z analiz prognostycznych dla sektora energetycznego, Tabela 22) </v>
      </c>
    </row>
    <row r="40" spans="1:61" s="607" customFormat="1" hidden="1" outlineLevel="1"/>
    <row r="41" spans="1:61" hidden="1" outlineLevel="1">
      <c r="A41" s="133" t="s">
        <v>82</v>
      </c>
    </row>
    <row r="42" spans="1:61" hidden="1" outlineLevel="1">
      <c r="A42" s="136" t="s">
        <v>87</v>
      </c>
    </row>
    <row r="43" spans="1:61" ht="93.75" hidden="1" outlineLevel="1" thickBot="1">
      <c r="A43" s="139" t="s">
        <v>74</v>
      </c>
      <c r="B43" s="139"/>
      <c r="C43" s="139"/>
      <c r="D43" s="139"/>
      <c r="E43" s="139"/>
      <c r="F43" s="139"/>
      <c r="G43" s="139"/>
      <c r="H43" s="139"/>
      <c r="I43" s="139"/>
      <c r="J43" s="139"/>
      <c r="K43" s="139"/>
      <c r="L43" s="139"/>
      <c r="M43" s="139"/>
      <c r="N43" s="139"/>
      <c r="O43" s="139"/>
      <c r="P43" s="140" t="s">
        <v>76</v>
      </c>
      <c r="Q43" s="140" t="s">
        <v>711</v>
      </c>
      <c r="S43" s="213"/>
      <c r="V43" s="758" t="s">
        <v>215</v>
      </c>
      <c r="W43" s="758"/>
      <c r="X43" s="162" t="s">
        <v>76</v>
      </c>
      <c r="Y43" s="215" t="s">
        <v>711</v>
      </c>
    </row>
    <row r="44" spans="1:61" hidden="1" outlineLevel="1">
      <c r="A44" s="131" t="s">
        <v>53</v>
      </c>
      <c r="P44" s="134">
        <v>0.11</v>
      </c>
      <c r="Q44" s="135">
        <v>0</v>
      </c>
      <c r="V44" t="str">
        <f>A44</f>
        <v>Średnio, wszystkie rodzaje</v>
      </c>
      <c r="X44" s="134">
        <v>0.26</v>
      </c>
      <c r="Y44" s="135">
        <v>18.5</v>
      </c>
    </row>
    <row r="45" spans="1:61" hidden="1" outlineLevel="1">
      <c r="A45" t="s">
        <v>712</v>
      </c>
      <c r="P45" s="134">
        <v>0.09</v>
      </c>
      <c r="Q45" s="135">
        <v>0</v>
      </c>
      <c r="V45" t="str">
        <f>A45</f>
        <v>Regionalne i Podmiejskie</v>
      </c>
      <c r="X45" s="134">
        <v>0.22</v>
      </c>
      <c r="Y45" s="135">
        <v>15.4</v>
      </c>
    </row>
    <row r="46" spans="1:61" hidden="1" outlineLevel="1">
      <c r="A46" t="s">
        <v>61</v>
      </c>
      <c r="P46" s="134">
        <v>0.12</v>
      </c>
      <c r="Q46" s="135">
        <v>0</v>
      </c>
      <c r="V46" t="str">
        <f>A46</f>
        <v>Międzyaglomeracyjne</v>
      </c>
      <c r="X46" s="134">
        <v>0.31</v>
      </c>
      <c r="Y46" s="135">
        <v>21.7</v>
      </c>
    </row>
    <row r="47" spans="1:61" hidden="1" outlineLevel="1">
      <c r="A47" s="83" t="s">
        <v>54</v>
      </c>
      <c r="B47" s="83"/>
      <c r="C47" s="83"/>
      <c r="D47" s="83"/>
      <c r="E47" s="83"/>
      <c r="F47" s="83"/>
      <c r="G47" s="83"/>
      <c r="H47" s="83"/>
      <c r="I47" s="83"/>
      <c r="J47" s="83"/>
      <c r="K47" s="83"/>
      <c r="L47" s="83"/>
      <c r="M47" s="83"/>
      <c r="N47" s="83"/>
      <c r="O47" s="83"/>
      <c r="P47" s="141">
        <v>0.11</v>
      </c>
      <c r="Q47" s="143">
        <v>0</v>
      </c>
      <c r="V47" s="83" t="str">
        <f>A47</f>
        <v>Pociągi dużej prędkości</v>
      </c>
      <c r="W47" s="83"/>
      <c r="X47" s="151"/>
      <c r="Y47" s="152"/>
    </row>
    <row r="48" spans="1:61" hidden="1" outlineLevel="1">
      <c r="A48" s="749" t="s">
        <v>713</v>
      </c>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row>
    <row r="49" spans="1:28" s="690" customFormat="1" hidden="1" outlineLevel="1">
      <c r="A49" s="749"/>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row>
    <row r="50" spans="1:28" s="159" customFormat="1" hidden="1" outlineLevel="1">
      <c r="A50" s="145" t="s">
        <v>714</v>
      </c>
    </row>
    <row r="51" spans="1:28" hidden="1" outlineLevel="1">
      <c r="A51" s="35" t="s">
        <v>715</v>
      </c>
    </row>
    <row r="52" spans="1:28" hidden="1" outlineLevel="1">
      <c r="A52" s="136" t="s">
        <v>88</v>
      </c>
    </row>
    <row r="53" spans="1:28" ht="93.75" hidden="1" outlineLevel="1" thickBot="1">
      <c r="A53" s="139" t="s">
        <v>75</v>
      </c>
      <c r="B53" s="139"/>
      <c r="C53" s="139"/>
      <c r="D53" s="139"/>
      <c r="E53" s="139"/>
      <c r="F53" s="139"/>
      <c r="G53" s="139"/>
      <c r="H53" s="139"/>
      <c r="I53" s="139"/>
      <c r="J53" s="139"/>
      <c r="K53" s="139"/>
      <c r="L53" s="139"/>
      <c r="M53" s="139"/>
      <c r="N53" s="139"/>
      <c r="O53" s="139"/>
      <c r="P53" s="140" t="s">
        <v>77</v>
      </c>
      <c r="Q53" s="215" t="s">
        <v>716</v>
      </c>
      <c r="V53" s="758" t="s">
        <v>216</v>
      </c>
      <c r="W53" s="758"/>
      <c r="X53" s="162" t="s">
        <v>77</v>
      </c>
      <c r="Y53" s="215" t="s">
        <v>716</v>
      </c>
    </row>
    <row r="54" spans="1:28" ht="30" hidden="1" outlineLevel="1">
      <c r="A54" s="160" t="s">
        <v>717</v>
      </c>
      <c r="P54" s="135">
        <v>59.8</v>
      </c>
      <c r="Q54" s="147">
        <v>0</v>
      </c>
      <c r="V54" s="793" t="str">
        <f>A54</f>
        <v>Średnio, wszystkie rodzaje 
(1000t - 21 wagonów)</v>
      </c>
      <c r="W54" s="793"/>
      <c r="X54" s="135">
        <v>161.5</v>
      </c>
      <c r="Y54" s="147">
        <v>11.433999999999999</v>
      </c>
    </row>
    <row r="55" spans="1:28" ht="30" hidden="1" outlineLevel="1">
      <c r="A55" s="160" t="s">
        <v>718</v>
      </c>
      <c r="P55" s="135">
        <v>59.8</v>
      </c>
      <c r="Q55" s="147">
        <v>0</v>
      </c>
      <c r="V55" s="715" t="str">
        <f>A55</f>
        <v>Masowe 
(1000t - 18 wagonów)</v>
      </c>
      <c r="W55" s="715"/>
      <c r="X55" s="135">
        <v>161.5</v>
      </c>
      <c r="Y55" s="147">
        <v>11.433999999999999</v>
      </c>
    </row>
    <row r="56" spans="1:28" ht="30" hidden="1" outlineLevel="1">
      <c r="A56" s="160" t="s">
        <v>719</v>
      </c>
      <c r="P56" s="135">
        <v>59.8</v>
      </c>
      <c r="Q56" s="147">
        <v>0</v>
      </c>
      <c r="V56" s="715" t="str">
        <f>A56</f>
        <v>Gabarytowe 
(1000t - 26 wagonów)</v>
      </c>
      <c r="W56" s="715"/>
      <c r="X56" s="135">
        <v>161.5</v>
      </c>
      <c r="Y56" s="147">
        <v>11.433999999999999</v>
      </c>
    </row>
    <row r="57" spans="1:28" ht="30" hidden="1" outlineLevel="1">
      <c r="A57" s="161" t="s">
        <v>720</v>
      </c>
      <c r="B57" s="83"/>
      <c r="C57" s="83"/>
      <c r="D57" s="83"/>
      <c r="E57" s="83"/>
      <c r="F57" s="83"/>
      <c r="G57" s="83"/>
      <c r="H57" s="83"/>
      <c r="I57" s="83"/>
      <c r="J57" s="83"/>
      <c r="K57" s="83"/>
      <c r="L57" s="83"/>
      <c r="M57" s="83"/>
      <c r="N57" s="83"/>
      <c r="O57" s="83"/>
      <c r="P57" s="143">
        <v>59.8</v>
      </c>
      <c r="Q57" s="148">
        <v>0</v>
      </c>
      <c r="V57" s="779" t="str">
        <f>A57</f>
        <v>Kontenerowe 
(1000t - 21 wagonów)</v>
      </c>
      <c r="W57" s="779"/>
      <c r="X57" s="143">
        <v>161.5</v>
      </c>
      <c r="Y57" s="148">
        <v>11.433999999999999</v>
      </c>
    </row>
    <row r="58" spans="1:28" s="159" customFormat="1" hidden="1" outlineLevel="1">
      <c r="A58" s="145" t="s">
        <v>86</v>
      </c>
      <c r="B58" s="163"/>
      <c r="C58" s="163"/>
      <c r="D58" s="163"/>
      <c r="E58" s="163"/>
      <c r="F58" s="163"/>
      <c r="G58" s="163"/>
      <c r="H58" s="163"/>
      <c r="I58" s="163"/>
      <c r="J58" s="163"/>
      <c r="K58" s="163"/>
      <c r="L58" s="163"/>
      <c r="M58" s="163"/>
      <c r="N58" s="163"/>
      <c r="O58" s="163"/>
      <c r="P58" s="166"/>
      <c r="Q58" s="169"/>
      <c r="R58" s="165"/>
      <c r="S58" s="170"/>
      <c r="T58" s="171"/>
      <c r="V58" s="163"/>
      <c r="W58" s="163"/>
      <c r="X58" s="166"/>
      <c r="Y58" s="169"/>
      <c r="Z58" s="165"/>
      <c r="AA58" s="170"/>
      <c r="AB58" s="171"/>
    </row>
    <row r="59" spans="1:28" hidden="1" outlineLevel="1">
      <c r="A59" s="35" t="s">
        <v>85</v>
      </c>
    </row>
    <row r="60" spans="1:28" hidden="1" outlineLevel="1">
      <c r="A60" s="749" t="s">
        <v>721</v>
      </c>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row>
    <row r="61" spans="1:28" s="690" customFormat="1" hidden="1" outlineLevel="1">
      <c r="A61" s="749"/>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row>
    <row r="62" spans="1:28" hidden="1" outlineLevel="1"/>
    <row r="63" spans="1:28" hidden="1" outlineLevel="1">
      <c r="A63" t="s">
        <v>50</v>
      </c>
      <c r="B63" s="156">
        <f>B64/(B65*B66)</f>
        <v>0.27777777777777779</v>
      </c>
    </row>
    <row r="64" spans="1:28" hidden="1" outlineLevel="1">
      <c r="B64" s="102">
        <f>10^6</f>
        <v>1000000</v>
      </c>
      <c r="P64" t="s">
        <v>62</v>
      </c>
    </row>
    <row r="65" spans="1:61" hidden="1" outlineLevel="1">
      <c r="B65" s="102">
        <f>10^3</f>
        <v>1000</v>
      </c>
      <c r="P65" t="s">
        <v>63</v>
      </c>
    </row>
    <row r="66" spans="1:61" hidden="1" outlineLevel="1">
      <c r="B66" s="102">
        <f>(60*60)</f>
        <v>3600</v>
      </c>
      <c r="P66" t="s">
        <v>64</v>
      </c>
    </row>
    <row r="67" spans="1:61" collapsed="1"/>
    <row r="68" spans="1:61" ht="18">
      <c r="A68" s="1" t="s">
        <v>722</v>
      </c>
    </row>
    <row r="69" spans="1:61" s="613" customFormat="1">
      <c r="A69" s="749" t="s">
        <v>723</v>
      </c>
      <c r="B69" s="749"/>
      <c r="C69" s="749"/>
      <c r="D69" s="749"/>
      <c r="E69" s="749"/>
      <c r="F69" s="749"/>
      <c r="G69" s="749"/>
      <c r="H69" s="749"/>
      <c r="I69" s="749"/>
      <c r="J69" s="749"/>
      <c r="K69" s="749"/>
      <c r="L69" s="749"/>
      <c r="M69" s="749"/>
      <c r="N69" s="749"/>
      <c r="O69" s="749"/>
      <c r="P69" s="749"/>
      <c r="Q69" s="749"/>
      <c r="R69" s="749"/>
      <c r="S69" s="749"/>
      <c r="T69" s="749"/>
      <c r="U69" s="749"/>
      <c r="V69" s="749"/>
    </row>
    <row r="70" spans="1:61" s="690" customFormat="1">
      <c r="A70" s="749"/>
      <c r="B70" s="749"/>
      <c r="C70" s="749"/>
      <c r="D70" s="749"/>
      <c r="E70" s="749"/>
      <c r="F70" s="749"/>
      <c r="G70" s="749"/>
      <c r="H70" s="749"/>
      <c r="I70" s="749"/>
      <c r="J70" s="749"/>
      <c r="K70" s="749"/>
      <c r="L70" s="749"/>
      <c r="M70" s="749"/>
      <c r="N70" s="749"/>
      <c r="O70" s="749"/>
      <c r="P70" s="749"/>
      <c r="Q70" s="749"/>
      <c r="R70" s="749"/>
      <c r="S70" s="749"/>
      <c r="T70" s="749"/>
      <c r="U70" s="749"/>
      <c r="V70" s="749"/>
    </row>
    <row r="71" spans="1:61" s="613" customFormat="1" ht="30.75" customHeight="1">
      <c r="A71" s="788" t="s">
        <v>74</v>
      </c>
      <c r="B71" s="611"/>
      <c r="C71" s="611"/>
      <c r="D71" s="611"/>
      <c r="E71" s="611"/>
      <c r="F71" s="611"/>
      <c r="G71" s="611"/>
      <c r="H71" s="611"/>
      <c r="I71" s="611"/>
      <c r="J71" s="611"/>
      <c r="K71" s="611"/>
      <c r="L71" s="611"/>
      <c r="M71" s="611"/>
      <c r="N71" s="611"/>
      <c r="O71" s="611"/>
      <c r="P71" s="783" t="s">
        <v>116</v>
      </c>
      <c r="Q71" s="611"/>
      <c r="R71" s="611"/>
      <c r="S71" s="611" t="s">
        <v>724</v>
      </c>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1"/>
      <c r="BH71" s="611"/>
      <c r="BI71" s="611"/>
    </row>
    <row r="72" spans="1:61" ht="30" customHeight="1" thickBot="1">
      <c r="A72" s="786"/>
      <c r="B72" s="604"/>
      <c r="C72" s="604"/>
      <c r="D72" s="604"/>
      <c r="E72" s="604"/>
      <c r="F72" s="604"/>
      <c r="G72" s="604"/>
      <c r="H72" s="604"/>
      <c r="I72" s="604"/>
      <c r="J72" s="604"/>
      <c r="K72" s="604"/>
      <c r="L72" s="604"/>
      <c r="M72" s="604"/>
      <c r="N72" s="604"/>
      <c r="O72" s="604"/>
      <c r="P72" s="784"/>
      <c r="Q72" s="604"/>
      <c r="R72" s="604"/>
      <c r="S72" s="604">
        <v>2019</v>
      </c>
      <c r="T72" s="604">
        <f>S72+1</f>
        <v>2020</v>
      </c>
      <c r="U72" s="604">
        <f t="shared" ref="U72:BI72" si="5">T72+1</f>
        <v>2021</v>
      </c>
      <c r="V72" s="604">
        <f t="shared" si="5"/>
        <v>2022</v>
      </c>
      <c r="W72" s="604">
        <f t="shared" si="5"/>
        <v>2023</v>
      </c>
      <c r="X72" s="604">
        <f t="shared" si="5"/>
        <v>2024</v>
      </c>
      <c r="Y72" s="604">
        <f t="shared" si="5"/>
        <v>2025</v>
      </c>
      <c r="Z72" s="604">
        <f t="shared" si="5"/>
        <v>2026</v>
      </c>
      <c r="AA72" s="604">
        <f t="shared" si="5"/>
        <v>2027</v>
      </c>
      <c r="AB72" s="604">
        <f t="shared" si="5"/>
        <v>2028</v>
      </c>
      <c r="AC72" s="604">
        <f t="shared" si="5"/>
        <v>2029</v>
      </c>
      <c r="AD72" s="604">
        <f t="shared" si="5"/>
        <v>2030</v>
      </c>
      <c r="AE72" s="604">
        <f t="shared" si="5"/>
        <v>2031</v>
      </c>
      <c r="AF72" s="604">
        <f t="shared" si="5"/>
        <v>2032</v>
      </c>
      <c r="AG72" s="604">
        <f t="shared" si="5"/>
        <v>2033</v>
      </c>
      <c r="AH72" s="604">
        <f t="shared" si="5"/>
        <v>2034</v>
      </c>
      <c r="AI72" s="604">
        <f t="shared" si="5"/>
        <v>2035</v>
      </c>
      <c r="AJ72" s="604">
        <f t="shared" si="5"/>
        <v>2036</v>
      </c>
      <c r="AK72" s="604">
        <f t="shared" si="5"/>
        <v>2037</v>
      </c>
      <c r="AL72" s="604">
        <f t="shared" si="5"/>
        <v>2038</v>
      </c>
      <c r="AM72" s="604">
        <f t="shared" si="5"/>
        <v>2039</v>
      </c>
      <c r="AN72" s="604">
        <f t="shared" si="5"/>
        <v>2040</v>
      </c>
      <c r="AO72" s="604">
        <f t="shared" si="5"/>
        <v>2041</v>
      </c>
      <c r="AP72" s="604">
        <f t="shared" si="5"/>
        <v>2042</v>
      </c>
      <c r="AQ72" s="604">
        <f t="shared" si="5"/>
        <v>2043</v>
      </c>
      <c r="AR72" s="604">
        <f t="shared" si="5"/>
        <v>2044</v>
      </c>
      <c r="AS72" s="604">
        <f t="shared" si="5"/>
        <v>2045</v>
      </c>
      <c r="AT72" s="604">
        <f t="shared" si="5"/>
        <v>2046</v>
      </c>
      <c r="AU72" s="604">
        <f t="shared" si="5"/>
        <v>2047</v>
      </c>
      <c r="AV72" s="604">
        <f t="shared" si="5"/>
        <v>2048</v>
      </c>
      <c r="AW72" s="604">
        <f t="shared" si="5"/>
        <v>2049</v>
      </c>
      <c r="AX72" s="604">
        <f t="shared" si="5"/>
        <v>2050</v>
      </c>
      <c r="AY72" s="604">
        <f t="shared" si="5"/>
        <v>2051</v>
      </c>
      <c r="AZ72" s="604">
        <f t="shared" si="5"/>
        <v>2052</v>
      </c>
      <c r="BA72" s="604">
        <f t="shared" si="5"/>
        <v>2053</v>
      </c>
      <c r="BB72" s="604">
        <f t="shared" si="5"/>
        <v>2054</v>
      </c>
      <c r="BC72" s="604">
        <f t="shared" si="5"/>
        <v>2055</v>
      </c>
      <c r="BD72" s="604">
        <f t="shared" si="5"/>
        <v>2056</v>
      </c>
      <c r="BE72" s="604">
        <f t="shared" si="5"/>
        <v>2057</v>
      </c>
      <c r="BF72" s="604">
        <f t="shared" si="5"/>
        <v>2058</v>
      </c>
      <c r="BG72" s="604">
        <f t="shared" si="5"/>
        <v>2059</v>
      </c>
      <c r="BH72" s="604">
        <f t="shared" si="5"/>
        <v>2060</v>
      </c>
      <c r="BI72" s="604">
        <f t="shared" si="5"/>
        <v>2061</v>
      </c>
    </row>
    <row r="73" spans="1:61">
      <c r="A73" s="131" t="str">
        <f>A44</f>
        <v>Średnio, wszystkie rodzaje</v>
      </c>
      <c r="P73" s="147">
        <f>P44*$B$63</f>
        <v>3.0555555555555558E-2</v>
      </c>
      <c r="Q73" s="616"/>
      <c r="R73" s="616"/>
      <c r="S73" s="616">
        <f t="shared" ref="S73:BI73" si="6">$Q44+$P73*S$35</f>
        <v>21.969444444444445</v>
      </c>
      <c r="T73" s="616">
        <f t="shared" si="6"/>
        <v>20.608495282022165</v>
      </c>
      <c r="U73" s="616">
        <f t="shared" si="6"/>
        <v>20.431917834725645</v>
      </c>
      <c r="V73" s="616">
        <f t="shared" si="6"/>
        <v>20.255340387429122</v>
      </c>
      <c r="W73" s="616">
        <f t="shared" si="6"/>
        <v>20.078762940132602</v>
      </c>
      <c r="X73" s="616">
        <f t="shared" si="6"/>
        <v>19.902185492836079</v>
      </c>
      <c r="Y73" s="616">
        <f t="shared" si="6"/>
        <v>19.725608045539552</v>
      </c>
      <c r="Z73" s="616">
        <f t="shared" si="6"/>
        <v>19.31910719262746</v>
      </c>
      <c r="AA73" s="616">
        <f t="shared" si="6"/>
        <v>18.912606339715371</v>
      </c>
      <c r="AB73" s="616">
        <f t="shared" si="6"/>
        <v>18.506105486803278</v>
      </c>
      <c r="AC73" s="616">
        <f t="shared" si="6"/>
        <v>18.09960463389119</v>
      </c>
      <c r="AD73" s="616">
        <f t="shared" si="6"/>
        <v>17.693103780979097</v>
      </c>
      <c r="AE73" s="616">
        <f t="shared" si="6"/>
        <v>16.882463394991738</v>
      </c>
      <c r="AF73" s="616">
        <f t="shared" si="6"/>
        <v>16.071823009004383</v>
      </c>
      <c r="AG73" s="616">
        <f t="shared" si="6"/>
        <v>15.261182623017024</v>
      </c>
      <c r="AH73" s="616">
        <f t="shared" si="6"/>
        <v>14.450542237029667</v>
      </c>
      <c r="AI73" s="616">
        <f t="shared" si="6"/>
        <v>13.639901851042312</v>
      </c>
      <c r="AJ73" s="616">
        <f t="shared" si="6"/>
        <v>13.193261282324713</v>
      </c>
      <c r="AK73" s="616">
        <f t="shared" si="6"/>
        <v>12.746620713607115</v>
      </c>
      <c r="AL73" s="616">
        <f t="shared" si="6"/>
        <v>12.299980144889515</v>
      </c>
      <c r="AM73" s="616">
        <f t="shared" si="6"/>
        <v>11.853339576171917</v>
      </c>
      <c r="AN73" s="616">
        <f t="shared" si="6"/>
        <v>11.406699007454321</v>
      </c>
      <c r="AO73" s="616">
        <f t="shared" si="6"/>
        <v>11.406699007454321</v>
      </c>
      <c r="AP73" s="616">
        <f t="shared" si="6"/>
        <v>11.406699007454321</v>
      </c>
      <c r="AQ73" s="616">
        <f t="shared" si="6"/>
        <v>11.406699007454321</v>
      </c>
      <c r="AR73" s="616">
        <f t="shared" si="6"/>
        <v>11.406699007454321</v>
      </c>
      <c r="AS73" s="616">
        <f t="shared" si="6"/>
        <v>11.406699007454321</v>
      </c>
      <c r="AT73" s="616">
        <f t="shared" si="6"/>
        <v>11.406699007454321</v>
      </c>
      <c r="AU73" s="616">
        <f t="shared" si="6"/>
        <v>11.406699007454321</v>
      </c>
      <c r="AV73" s="616">
        <f t="shared" si="6"/>
        <v>11.406699007454321</v>
      </c>
      <c r="AW73" s="616">
        <f t="shared" si="6"/>
        <v>11.406699007454321</v>
      </c>
      <c r="AX73" s="616">
        <f t="shared" si="6"/>
        <v>11.406699007454321</v>
      </c>
      <c r="AY73" s="616">
        <f t="shared" si="6"/>
        <v>11.406699007454321</v>
      </c>
      <c r="AZ73" s="616">
        <f t="shared" si="6"/>
        <v>11.406699007454321</v>
      </c>
      <c r="BA73" s="616">
        <f t="shared" si="6"/>
        <v>11.406699007454321</v>
      </c>
      <c r="BB73" s="616">
        <f t="shared" si="6"/>
        <v>11.406699007454321</v>
      </c>
      <c r="BC73" s="616">
        <f t="shared" si="6"/>
        <v>11.406699007454321</v>
      </c>
      <c r="BD73" s="616">
        <f t="shared" si="6"/>
        <v>11.406699007454321</v>
      </c>
      <c r="BE73" s="616">
        <f t="shared" si="6"/>
        <v>11.406699007454321</v>
      </c>
      <c r="BF73" s="616">
        <f t="shared" si="6"/>
        <v>11.406699007454321</v>
      </c>
      <c r="BG73" s="616">
        <f t="shared" si="6"/>
        <v>11.406699007454321</v>
      </c>
      <c r="BH73" s="616">
        <f t="shared" si="6"/>
        <v>11.406699007454321</v>
      </c>
      <c r="BI73" s="616">
        <f t="shared" si="6"/>
        <v>11.406699007454321</v>
      </c>
    </row>
    <row r="74" spans="1:61">
      <c r="A74" s="131" t="str">
        <f>A45</f>
        <v>Regionalne i Podmiejskie</v>
      </c>
      <c r="P74" s="147">
        <f>P45*$B$63</f>
        <v>2.5000000000000001E-2</v>
      </c>
      <c r="Q74" s="616"/>
      <c r="R74" s="616"/>
      <c r="S74" s="616">
        <f t="shared" ref="S74:BI74" si="7">$Q45+$P74*S$35</f>
        <v>17.975000000000001</v>
      </c>
      <c r="T74" s="616">
        <f t="shared" si="7"/>
        <v>16.861496139836316</v>
      </c>
      <c r="U74" s="616">
        <f t="shared" si="7"/>
        <v>16.717023682957343</v>
      </c>
      <c r="V74" s="616">
        <f t="shared" si="7"/>
        <v>16.572551226078371</v>
      </c>
      <c r="W74" s="616">
        <f t="shared" si="7"/>
        <v>16.428078769199399</v>
      </c>
      <c r="X74" s="616">
        <f t="shared" si="7"/>
        <v>16.283606312320426</v>
      </c>
      <c r="Y74" s="616">
        <f t="shared" si="7"/>
        <v>16.13913385544145</v>
      </c>
      <c r="Z74" s="616">
        <f t="shared" si="7"/>
        <v>15.806542248513376</v>
      </c>
      <c r="AA74" s="616">
        <f t="shared" si="7"/>
        <v>15.473950641585303</v>
      </c>
      <c r="AB74" s="616">
        <f t="shared" si="7"/>
        <v>15.141359034657228</v>
      </c>
      <c r="AC74" s="616">
        <f t="shared" si="7"/>
        <v>14.808767427729155</v>
      </c>
      <c r="AD74" s="616">
        <f t="shared" si="7"/>
        <v>14.476175820801078</v>
      </c>
      <c r="AE74" s="616">
        <f t="shared" si="7"/>
        <v>13.812924595902331</v>
      </c>
      <c r="AF74" s="616">
        <f t="shared" si="7"/>
        <v>13.149673371003585</v>
      </c>
      <c r="AG74" s="616">
        <f t="shared" si="7"/>
        <v>12.486422146104838</v>
      </c>
      <c r="AH74" s="616">
        <f t="shared" si="7"/>
        <v>11.823170921206092</v>
      </c>
      <c r="AI74" s="616">
        <f t="shared" si="7"/>
        <v>11.159919696307346</v>
      </c>
      <c r="AJ74" s="616">
        <f t="shared" si="7"/>
        <v>10.79448650372022</v>
      </c>
      <c r="AK74" s="616">
        <f t="shared" si="7"/>
        <v>10.429053311133094</v>
      </c>
      <c r="AL74" s="616">
        <f t="shared" si="7"/>
        <v>10.063620118545968</v>
      </c>
      <c r="AM74" s="616">
        <f t="shared" si="7"/>
        <v>9.6981869259588418</v>
      </c>
      <c r="AN74" s="616">
        <f t="shared" si="7"/>
        <v>9.3327537333717157</v>
      </c>
      <c r="AO74" s="616">
        <f t="shared" si="7"/>
        <v>9.3327537333717157</v>
      </c>
      <c r="AP74" s="616">
        <f t="shared" si="7"/>
        <v>9.3327537333717157</v>
      </c>
      <c r="AQ74" s="616">
        <f t="shared" si="7"/>
        <v>9.3327537333717157</v>
      </c>
      <c r="AR74" s="616">
        <f t="shared" si="7"/>
        <v>9.3327537333717157</v>
      </c>
      <c r="AS74" s="616">
        <f t="shared" si="7"/>
        <v>9.3327537333717157</v>
      </c>
      <c r="AT74" s="616">
        <f t="shared" si="7"/>
        <v>9.3327537333717157</v>
      </c>
      <c r="AU74" s="616">
        <f t="shared" si="7"/>
        <v>9.3327537333717157</v>
      </c>
      <c r="AV74" s="616">
        <f t="shared" si="7"/>
        <v>9.3327537333717157</v>
      </c>
      <c r="AW74" s="616">
        <f t="shared" si="7"/>
        <v>9.3327537333717157</v>
      </c>
      <c r="AX74" s="616">
        <f t="shared" si="7"/>
        <v>9.3327537333717157</v>
      </c>
      <c r="AY74" s="616">
        <f t="shared" si="7"/>
        <v>9.3327537333717157</v>
      </c>
      <c r="AZ74" s="616">
        <f t="shared" si="7"/>
        <v>9.3327537333717157</v>
      </c>
      <c r="BA74" s="616">
        <f t="shared" si="7"/>
        <v>9.3327537333717157</v>
      </c>
      <c r="BB74" s="616">
        <f t="shared" si="7"/>
        <v>9.3327537333717157</v>
      </c>
      <c r="BC74" s="616">
        <f t="shared" si="7"/>
        <v>9.3327537333717157</v>
      </c>
      <c r="BD74" s="616">
        <f t="shared" si="7"/>
        <v>9.3327537333717157</v>
      </c>
      <c r="BE74" s="616">
        <f t="shared" si="7"/>
        <v>9.3327537333717157</v>
      </c>
      <c r="BF74" s="616">
        <f t="shared" si="7"/>
        <v>9.3327537333717157</v>
      </c>
      <c r="BG74" s="616">
        <f t="shared" si="7"/>
        <v>9.3327537333717157</v>
      </c>
      <c r="BH74" s="616">
        <f t="shared" si="7"/>
        <v>9.3327537333717157</v>
      </c>
      <c r="BI74" s="616">
        <f t="shared" si="7"/>
        <v>9.3327537333717157</v>
      </c>
    </row>
    <row r="75" spans="1:61">
      <c r="A75" s="131" t="str">
        <f>A46</f>
        <v>Międzyaglomeracyjne</v>
      </c>
      <c r="P75" s="147">
        <f>P46*$B$63</f>
        <v>3.3333333333333333E-2</v>
      </c>
      <c r="Q75" s="616"/>
      <c r="R75" s="616"/>
      <c r="S75" s="616">
        <f t="shared" ref="S75:BI75" si="8">$Q46+$P75*S$35</f>
        <v>23.966666666666665</v>
      </c>
      <c r="T75" s="616">
        <f t="shared" si="8"/>
        <v>22.48199485311509</v>
      </c>
      <c r="U75" s="616">
        <f t="shared" si="8"/>
        <v>22.289364910609791</v>
      </c>
      <c r="V75" s="616">
        <f t="shared" si="8"/>
        <v>22.096734968104496</v>
      </c>
      <c r="W75" s="616">
        <f t="shared" si="8"/>
        <v>21.9041050255992</v>
      </c>
      <c r="X75" s="616">
        <f t="shared" si="8"/>
        <v>21.711475083093902</v>
      </c>
      <c r="Y75" s="616">
        <f t="shared" si="8"/>
        <v>21.518845140588599</v>
      </c>
      <c r="Z75" s="616">
        <f t="shared" si="8"/>
        <v>21.075389664684501</v>
      </c>
      <c r="AA75" s="616">
        <f t="shared" si="8"/>
        <v>20.631934188780402</v>
      </c>
      <c r="AB75" s="616">
        <f t="shared" si="8"/>
        <v>20.188478712876304</v>
      </c>
      <c r="AC75" s="616">
        <f t="shared" si="8"/>
        <v>19.745023236972205</v>
      </c>
      <c r="AD75" s="616">
        <f t="shared" si="8"/>
        <v>19.301567761068103</v>
      </c>
      <c r="AE75" s="616">
        <f t="shared" si="8"/>
        <v>18.417232794536442</v>
      </c>
      <c r="AF75" s="616">
        <f t="shared" si="8"/>
        <v>17.532897828004778</v>
      </c>
      <c r="AG75" s="616">
        <f t="shared" si="8"/>
        <v>16.648562861473117</v>
      </c>
      <c r="AH75" s="616">
        <f t="shared" si="8"/>
        <v>15.764227894941454</v>
      </c>
      <c r="AI75" s="616">
        <f t="shared" si="8"/>
        <v>14.879892928409793</v>
      </c>
      <c r="AJ75" s="616">
        <f t="shared" si="8"/>
        <v>14.392648671626958</v>
      </c>
      <c r="AK75" s="616">
        <f t="shared" si="8"/>
        <v>13.905404414844124</v>
      </c>
      <c r="AL75" s="616">
        <f t="shared" si="8"/>
        <v>13.418160158061289</v>
      </c>
      <c r="AM75" s="616">
        <f t="shared" si="8"/>
        <v>12.930915901278453</v>
      </c>
      <c r="AN75" s="616">
        <f t="shared" si="8"/>
        <v>12.443671644495621</v>
      </c>
      <c r="AO75" s="616">
        <f t="shared" si="8"/>
        <v>12.443671644495621</v>
      </c>
      <c r="AP75" s="616">
        <f t="shared" si="8"/>
        <v>12.443671644495621</v>
      </c>
      <c r="AQ75" s="616">
        <f t="shared" si="8"/>
        <v>12.443671644495621</v>
      </c>
      <c r="AR75" s="616">
        <f t="shared" si="8"/>
        <v>12.443671644495621</v>
      </c>
      <c r="AS75" s="616">
        <f t="shared" si="8"/>
        <v>12.443671644495621</v>
      </c>
      <c r="AT75" s="616">
        <f t="shared" si="8"/>
        <v>12.443671644495621</v>
      </c>
      <c r="AU75" s="616">
        <f t="shared" si="8"/>
        <v>12.443671644495621</v>
      </c>
      <c r="AV75" s="616">
        <f t="shared" si="8"/>
        <v>12.443671644495621</v>
      </c>
      <c r="AW75" s="616">
        <f t="shared" si="8"/>
        <v>12.443671644495621</v>
      </c>
      <c r="AX75" s="616">
        <f t="shared" si="8"/>
        <v>12.443671644495621</v>
      </c>
      <c r="AY75" s="616">
        <f t="shared" si="8"/>
        <v>12.443671644495621</v>
      </c>
      <c r="AZ75" s="616">
        <f t="shared" si="8"/>
        <v>12.443671644495621</v>
      </c>
      <c r="BA75" s="616">
        <f t="shared" si="8"/>
        <v>12.443671644495621</v>
      </c>
      <c r="BB75" s="616">
        <f t="shared" si="8"/>
        <v>12.443671644495621</v>
      </c>
      <c r="BC75" s="616">
        <f t="shared" si="8"/>
        <v>12.443671644495621</v>
      </c>
      <c r="BD75" s="616">
        <f t="shared" si="8"/>
        <v>12.443671644495621</v>
      </c>
      <c r="BE75" s="616">
        <f t="shared" si="8"/>
        <v>12.443671644495621</v>
      </c>
      <c r="BF75" s="616">
        <f t="shared" si="8"/>
        <v>12.443671644495621</v>
      </c>
      <c r="BG75" s="616">
        <f t="shared" si="8"/>
        <v>12.443671644495621</v>
      </c>
      <c r="BH75" s="616">
        <f t="shared" si="8"/>
        <v>12.443671644495621</v>
      </c>
      <c r="BI75" s="616">
        <f t="shared" si="8"/>
        <v>12.443671644495621</v>
      </c>
    </row>
    <row r="76" spans="1:61">
      <c r="A76" s="137" t="str">
        <f>A47</f>
        <v>Pociągi dużej prędkości</v>
      </c>
      <c r="B76" s="83"/>
      <c r="C76" s="83"/>
      <c r="D76" s="83"/>
      <c r="E76" s="83"/>
      <c r="F76" s="83"/>
      <c r="G76" s="83"/>
      <c r="H76" s="83"/>
      <c r="I76" s="83"/>
      <c r="J76" s="83"/>
      <c r="K76" s="83"/>
      <c r="L76" s="83"/>
      <c r="M76" s="83"/>
      <c r="N76" s="83"/>
      <c r="O76" s="83"/>
      <c r="P76" s="148">
        <f>P47*$B$63</f>
        <v>3.0555555555555558E-2</v>
      </c>
      <c r="Q76" s="648"/>
      <c r="R76" s="648"/>
      <c r="S76" s="648">
        <f t="shared" ref="S76:BI76" si="9">$Q47+$P76*S$35</f>
        <v>21.969444444444445</v>
      </c>
      <c r="T76" s="648">
        <f t="shared" si="9"/>
        <v>20.608495282022165</v>
      </c>
      <c r="U76" s="648">
        <f t="shared" si="9"/>
        <v>20.431917834725645</v>
      </c>
      <c r="V76" s="648">
        <f t="shared" si="9"/>
        <v>20.255340387429122</v>
      </c>
      <c r="W76" s="648">
        <f t="shared" si="9"/>
        <v>20.078762940132602</v>
      </c>
      <c r="X76" s="648">
        <f t="shared" si="9"/>
        <v>19.902185492836079</v>
      </c>
      <c r="Y76" s="648">
        <f t="shared" si="9"/>
        <v>19.725608045539552</v>
      </c>
      <c r="Z76" s="648">
        <f t="shared" si="9"/>
        <v>19.31910719262746</v>
      </c>
      <c r="AA76" s="648">
        <f t="shared" si="9"/>
        <v>18.912606339715371</v>
      </c>
      <c r="AB76" s="648">
        <f t="shared" si="9"/>
        <v>18.506105486803278</v>
      </c>
      <c r="AC76" s="648">
        <f t="shared" si="9"/>
        <v>18.09960463389119</v>
      </c>
      <c r="AD76" s="648">
        <f t="shared" si="9"/>
        <v>17.693103780979097</v>
      </c>
      <c r="AE76" s="648">
        <f t="shared" si="9"/>
        <v>16.882463394991738</v>
      </c>
      <c r="AF76" s="648">
        <f t="shared" si="9"/>
        <v>16.071823009004383</v>
      </c>
      <c r="AG76" s="648">
        <f t="shared" si="9"/>
        <v>15.261182623017024</v>
      </c>
      <c r="AH76" s="648">
        <f t="shared" si="9"/>
        <v>14.450542237029667</v>
      </c>
      <c r="AI76" s="648">
        <f t="shared" si="9"/>
        <v>13.639901851042312</v>
      </c>
      <c r="AJ76" s="648">
        <f t="shared" si="9"/>
        <v>13.193261282324713</v>
      </c>
      <c r="AK76" s="648">
        <f t="shared" si="9"/>
        <v>12.746620713607115</v>
      </c>
      <c r="AL76" s="648">
        <f t="shared" si="9"/>
        <v>12.299980144889515</v>
      </c>
      <c r="AM76" s="648">
        <f t="shared" si="9"/>
        <v>11.853339576171917</v>
      </c>
      <c r="AN76" s="648">
        <f t="shared" si="9"/>
        <v>11.406699007454321</v>
      </c>
      <c r="AO76" s="648">
        <f t="shared" si="9"/>
        <v>11.406699007454321</v>
      </c>
      <c r="AP76" s="648">
        <f t="shared" si="9"/>
        <v>11.406699007454321</v>
      </c>
      <c r="AQ76" s="648">
        <f t="shared" si="9"/>
        <v>11.406699007454321</v>
      </c>
      <c r="AR76" s="648">
        <f t="shared" si="9"/>
        <v>11.406699007454321</v>
      </c>
      <c r="AS76" s="648">
        <f t="shared" si="9"/>
        <v>11.406699007454321</v>
      </c>
      <c r="AT76" s="648">
        <f t="shared" si="9"/>
        <v>11.406699007454321</v>
      </c>
      <c r="AU76" s="648">
        <f t="shared" si="9"/>
        <v>11.406699007454321</v>
      </c>
      <c r="AV76" s="648">
        <f t="shared" si="9"/>
        <v>11.406699007454321</v>
      </c>
      <c r="AW76" s="648">
        <f t="shared" si="9"/>
        <v>11.406699007454321</v>
      </c>
      <c r="AX76" s="648">
        <f t="shared" si="9"/>
        <v>11.406699007454321</v>
      </c>
      <c r="AY76" s="648">
        <f t="shared" si="9"/>
        <v>11.406699007454321</v>
      </c>
      <c r="AZ76" s="648">
        <f t="shared" si="9"/>
        <v>11.406699007454321</v>
      </c>
      <c r="BA76" s="648">
        <f t="shared" si="9"/>
        <v>11.406699007454321</v>
      </c>
      <c r="BB76" s="648">
        <f t="shared" si="9"/>
        <v>11.406699007454321</v>
      </c>
      <c r="BC76" s="648">
        <f t="shared" si="9"/>
        <v>11.406699007454321</v>
      </c>
      <c r="BD76" s="648">
        <f t="shared" si="9"/>
        <v>11.406699007454321</v>
      </c>
      <c r="BE76" s="648">
        <f t="shared" si="9"/>
        <v>11.406699007454321</v>
      </c>
      <c r="BF76" s="648">
        <f t="shared" si="9"/>
        <v>11.406699007454321</v>
      </c>
      <c r="BG76" s="648">
        <f t="shared" si="9"/>
        <v>11.406699007454321</v>
      </c>
      <c r="BH76" s="648">
        <f t="shared" si="9"/>
        <v>11.406699007454321</v>
      </c>
      <c r="BI76" s="648">
        <f t="shared" si="9"/>
        <v>11.406699007454321</v>
      </c>
    </row>
    <row r="77" spans="1:61" s="613" customFormat="1" ht="30.75" thickBot="1">
      <c r="A77" s="604" t="s">
        <v>215</v>
      </c>
      <c r="B77" s="158"/>
      <c r="C77" s="158"/>
      <c r="D77" s="158"/>
      <c r="E77" s="158"/>
      <c r="F77" s="158"/>
      <c r="G77" s="158"/>
      <c r="H77" s="158"/>
      <c r="I77" s="158"/>
      <c r="J77" s="158"/>
      <c r="K77" s="158"/>
      <c r="L77" s="158"/>
      <c r="M77" s="158"/>
      <c r="N77" s="158"/>
      <c r="O77" s="158"/>
      <c r="P77" s="604" t="s">
        <v>474</v>
      </c>
      <c r="Q77" s="604"/>
      <c r="R77" s="604"/>
      <c r="S77" s="604">
        <v>2019</v>
      </c>
      <c r="T77" s="604">
        <f>S77+1</f>
        <v>2020</v>
      </c>
      <c r="U77" s="604">
        <f t="shared" ref="U77:BI77" si="10">T77+1</f>
        <v>2021</v>
      </c>
      <c r="V77" s="604">
        <f t="shared" si="10"/>
        <v>2022</v>
      </c>
      <c r="W77" s="604">
        <f t="shared" si="10"/>
        <v>2023</v>
      </c>
      <c r="X77" s="604">
        <f t="shared" si="10"/>
        <v>2024</v>
      </c>
      <c r="Y77" s="604">
        <f t="shared" si="10"/>
        <v>2025</v>
      </c>
      <c r="Z77" s="604">
        <f t="shared" si="10"/>
        <v>2026</v>
      </c>
      <c r="AA77" s="604">
        <f t="shared" si="10"/>
        <v>2027</v>
      </c>
      <c r="AB77" s="604">
        <f t="shared" si="10"/>
        <v>2028</v>
      </c>
      <c r="AC77" s="604">
        <f t="shared" si="10"/>
        <v>2029</v>
      </c>
      <c r="AD77" s="604">
        <f t="shared" si="10"/>
        <v>2030</v>
      </c>
      <c r="AE77" s="604">
        <f t="shared" si="10"/>
        <v>2031</v>
      </c>
      <c r="AF77" s="604">
        <f t="shared" si="10"/>
        <v>2032</v>
      </c>
      <c r="AG77" s="604">
        <f t="shared" si="10"/>
        <v>2033</v>
      </c>
      <c r="AH77" s="604">
        <f t="shared" si="10"/>
        <v>2034</v>
      </c>
      <c r="AI77" s="604">
        <f t="shared" si="10"/>
        <v>2035</v>
      </c>
      <c r="AJ77" s="604">
        <f t="shared" si="10"/>
        <v>2036</v>
      </c>
      <c r="AK77" s="604">
        <f t="shared" si="10"/>
        <v>2037</v>
      </c>
      <c r="AL77" s="604">
        <f t="shared" si="10"/>
        <v>2038</v>
      </c>
      <c r="AM77" s="604">
        <f t="shared" si="10"/>
        <v>2039</v>
      </c>
      <c r="AN77" s="604">
        <f t="shared" si="10"/>
        <v>2040</v>
      </c>
      <c r="AO77" s="604">
        <f t="shared" si="10"/>
        <v>2041</v>
      </c>
      <c r="AP77" s="604">
        <f t="shared" si="10"/>
        <v>2042</v>
      </c>
      <c r="AQ77" s="604">
        <f t="shared" si="10"/>
        <v>2043</v>
      </c>
      <c r="AR77" s="604">
        <f t="shared" si="10"/>
        <v>2044</v>
      </c>
      <c r="AS77" s="604">
        <f t="shared" si="10"/>
        <v>2045</v>
      </c>
      <c r="AT77" s="604">
        <f t="shared" si="10"/>
        <v>2046</v>
      </c>
      <c r="AU77" s="604">
        <f t="shared" si="10"/>
        <v>2047</v>
      </c>
      <c r="AV77" s="604">
        <f t="shared" si="10"/>
        <v>2048</v>
      </c>
      <c r="AW77" s="604">
        <f t="shared" si="10"/>
        <v>2049</v>
      </c>
      <c r="AX77" s="604">
        <f t="shared" si="10"/>
        <v>2050</v>
      </c>
      <c r="AY77" s="604">
        <f t="shared" si="10"/>
        <v>2051</v>
      </c>
      <c r="AZ77" s="604">
        <f t="shared" si="10"/>
        <v>2052</v>
      </c>
      <c r="BA77" s="604">
        <f t="shared" si="10"/>
        <v>2053</v>
      </c>
      <c r="BB77" s="604">
        <f t="shared" si="10"/>
        <v>2054</v>
      </c>
      <c r="BC77" s="604">
        <f t="shared" si="10"/>
        <v>2055</v>
      </c>
      <c r="BD77" s="604">
        <f t="shared" si="10"/>
        <v>2056</v>
      </c>
      <c r="BE77" s="604">
        <f t="shared" si="10"/>
        <v>2057</v>
      </c>
      <c r="BF77" s="604">
        <f t="shared" si="10"/>
        <v>2058</v>
      </c>
      <c r="BG77" s="604">
        <f t="shared" si="10"/>
        <v>2059</v>
      </c>
      <c r="BH77" s="604">
        <f t="shared" si="10"/>
        <v>2060</v>
      </c>
      <c r="BI77" s="604">
        <f t="shared" si="10"/>
        <v>2061</v>
      </c>
    </row>
    <row r="78" spans="1:61" s="613" customFormat="1">
      <c r="A78" s="605" t="str">
        <f>A73</f>
        <v>Średnio, wszystkie rodzaje</v>
      </c>
      <c r="P78" s="147">
        <f>X44*$B$63</f>
        <v>7.2222222222222229E-2</v>
      </c>
      <c r="Q78" s="616"/>
      <c r="R78" s="616"/>
      <c r="S78" s="649">
        <f>$Y44+$P78*S$35</f>
        <v>70.427777777777777</v>
      </c>
      <c r="T78" s="616">
        <f>$S78</f>
        <v>70.427777777777777</v>
      </c>
      <c r="U78" s="616">
        <f t="shared" ref="U78:BI80" si="11">$S78</f>
        <v>70.427777777777777</v>
      </c>
      <c r="V78" s="616">
        <f t="shared" si="11"/>
        <v>70.427777777777777</v>
      </c>
      <c r="W78" s="616">
        <f t="shared" si="11"/>
        <v>70.427777777777777</v>
      </c>
      <c r="X78" s="616">
        <f t="shared" si="11"/>
        <v>70.427777777777777</v>
      </c>
      <c r="Y78" s="616">
        <f t="shared" si="11"/>
        <v>70.427777777777777</v>
      </c>
      <c r="Z78" s="616">
        <f t="shared" si="11"/>
        <v>70.427777777777777</v>
      </c>
      <c r="AA78" s="616">
        <f t="shared" si="11"/>
        <v>70.427777777777777</v>
      </c>
      <c r="AB78" s="616">
        <f t="shared" si="11"/>
        <v>70.427777777777777</v>
      </c>
      <c r="AC78" s="616">
        <f t="shared" si="11"/>
        <v>70.427777777777777</v>
      </c>
      <c r="AD78" s="616">
        <f t="shared" si="11"/>
        <v>70.427777777777777</v>
      </c>
      <c r="AE78" s="616">
        <f t="shared" si="11"/>
        <v>70.427777777777777</v>
      </c>
      <c r="AF78" s="616">
        <f t="shared" si="11"/>
        <v>70.427777777777777</v>
      </c>
      <c r="AG78" s="616">
        <f t="shared" si="11"/>
        <v>70.427777777777777</v>
      </c>
      <c r="AH78" s="616">
        <f t="shared" si="11"/>
        <v>70.427777777777777</v>
      </c>
      <c r="AI78" s="616">
        <f t="shared" si="11"/>
        <v>70.427777777777777</v>
      </c>
      <c r="AJ78" s="616">
        <f t="shared" si="11"/>
        <v>70.427777777777777</v>
      </c>
      <c r="AK78" s="616">
        <f t="shared" si="11"/>
        <v>70.427777777777777</v>
      </c>
      <c r="AL78" s="616">
        <f t="shared" si="11"/>
        <v>70.427777777777777</v>
      </c>
      <c r="AM78" s="616">
        <f t="shared" si="11"/>
        <v>70.427777777777777</v>
      </c>
      <c r="AN78" s="616">
        <f t="shared" si="11"/>
        <v>70.427777777777777</v>
      </c>
      <c r="AO78" s="616">
        <f t="shared" si="11"/>
        <v>70.427777777777777</v>
      </c>
      <c r="AP78" s="616">
        <f t="shared" si="11"/>
        <v>70.427777777777777</v>
      </c>
      <c r="AQ78" s="616">
        <f t="shared" si="11"/>
        <v>70.427777777777777</v>
      </c>
      <c r="AR78" s="616">
        <f t="shared" si="11"/>
        <v>70.427777777777777</v>
      </c>
      <c r="AS78" s="616">
        <f t="shared" si="11"/>
        <v>70.427777777777777</v>
      </c>
      <c r="AT78" s="616">
        <f t="shared" si="11"/>
        <v>70.427777777777777</v>
      </c>
      <c r="AU78" s="616">
        <f t="shared" si="11"/>
        <v>70.427777777777777</v>
      </c>
      <c r="AV78" s="616">
        <f t="shared" si="11"/>
        <v>70.427777777777777</v>
      </c>
      <c r="AW78" s="616">
        <f t="shared" si="11"/>
        <v>70.427777777777777</v>
      </c>
      <c r="AX78" s="616">
        <f t="shared" si="11"/>
        <v>70.427777777777777</v>
      </c>
      <c r="AY78" s="616">
        <f t="shared" si="11"/>
        <v>70.427777777777777</v>
      </c>
      <c r="AZ78" s="616">
        <f t="shared" si="11"/>
        <v>70.427777777777777</v>
      </c>
      <c r="BA78" s="616">
        <f t="shared" si="11"/>
        <v>70.427777777777777</v>
      </c>
      <c r="BB78" s="616">
        <f t="shared" si="11"/>
        <v>70.427777777777777</v>
      </c>
      <c r="BC78" s="616">
        <f t="shared" si="11"/>
        <v>70.427777777777777</v>
      </c>
      <c r="BD78" s="616">
        <f t="shared" si="11"/>
        <v>70.427777777777777</v>
      </c>
      <c r="BE78" s="616">
        <f t="shared" si="11"/>
        <v>70.427777777777777</v>
      </c>
      <c r="BF78" s="616">
        <f t="shared" si="11"/>
        <v>70.427777777777777</v>
      </c>
      <c r="BG78" s="616">
        <f t="shared" si="11"/>
        <v>70.427777777777777</v>
      </c>
      <c r="BH78" s="616">
        <f t="shared" si="11"/>
        <v>70.427777777777777</v>
      </c>
      <c r="BI78" s="616">
        <f t="shared" si="11"/>
        <v>70.427777777777777</v>
      </c>
    </row>
    <row r="79" spans="1:61" s="613" customFormat="1">
      <c r="A79" s="605" t="str">
        <f>A74</f>
        <v>Regionalne i Podmiejskie</v>
      </c>
      <c r="P79" s="147">
        <f>X45*$B$63</f>
        <v>6.1111111111111116E-2</v>
      </c>
      <c r="Q79" s="616"/>
      <c r="R79" s="616"/>
      <c r="S79" s="617">
        <f>$Y45+$P79*S$35</f>
        <v>59.338888888888889</v>
      </c>
      <c r="T79" s="616">
        <f t="shared" ref="T79:AI80" si="12">$S79</f>
        <v>59.338888888888889</v>
      </c>
      <c r="U79" s="616">
        <f t="shared" si="12"/>
        <v>59.338888888888889</v>
      </c>
      <c r="V79" s="616">
        <f t="shared" si="12"/>
        <v>59.338888888888889</v>
      </c>
      <c r="W79" s="616">
        <f t="shared" si="12"/>
        <v>59.338888888888889</v>
      </c>
      <c r="X79" s="616">
        <f t="shared" si="12"/>
        <v>59.338888888888889</v>
      </c>
      <c r="Y79" s="616">
        <f t="shared" si="12"/>
        <v>59.338888888888889</v>
      </c>
      <c r="Z79" s="616">
        <f t="shared" si="12"/>
        <v>59.338888888888889</v>
      </c>
      <c r="AA79" s="616">
        <f t="shared" si="12"/>
        <v>59.338888888888889</v>
      </c>
      <c r="AB79" s="616">
        <f t="shared" si="12"/>
        <v>59.338888888888889</v>
      </c>
      <c r="AC79" s="616">
        <f t="shared" si="12"/>
        <v>59.338888888888889</v>
      </c>
      <c r="AD79" s="616">
        <f t="shared" si="12"/>
        <v>59.338888888888889</v>
      </c>
      <c r="AE79" s="616">
        <f t="shared" si="12"/>
        <v>59.338888888888889</v>
      </c>
      <c r="AF79" s="616">
        <f t="shared" si="12"/>
        <v>59.338888888888889</v>
      </c>
      <c r="AG79" s="616">
        <f t="shared" si="12"/>
        <v>59.338888888888889</v>
      </c>
      <c r="AH79" s="616">
        <f t="shared" si="12"/>
        <v>59.338888888888889</v>
      </c>
      <c r="AI79" s="616">
        <f t="shared" si="12"/>
        <v>59.338888888888889</v>
      </c>
      <c r="AJ79" s="616">
        <f t="shared" si="11"/>
        <v>59.338888888888889</v>
      </c>
      <c r="AK79" s="616">
        <f t="shared" si="11"/>
        <v>59.338888888888889</v>
      </c>
      <c r="AL79" s="616">
        <f t="shared" si="11"/>
        <v>59.338888888888889</v>
      </c>
      <c r="AM79" s="616">
        <f t="shared" si="11"/>
        <v>59.338888888888889</v>
      </c>
      <c r="AN79" s="616">
        <f t="shared" si="11"/>
        <v>59.338888888888889</v>
      </c>
      <c r="AO79" s="616">
        <f t="shared" si="11"/>
        <v>59.338888888888889</v>
      </c>
      <c r="AP79" s="616">
        <f t="shared" si="11"/>
        <v>59.338888888888889</v>
      </c>
      <c r="AQ79" s="616">
        <f t="shared" si="11"/>
        <v>59.338888888888889</v>
      </c>
      <c r="AR79" s="616">
        <f t="shared" si="11"/>
        <v>59.338888888888889</v>
      </c>
      <c r="AS79" s="616">
        <f t="shared" si="11"/>
        <v>59.338888888888889</v>
      </c>
      <c r="AT79" s="616">
        <f t="shared" si="11"/>
        <v>59.338888888888889</v>
      </c>
      <c r="AU79" s="616">
        <f t="shared" si="11"/>
        <v>59.338888888888889</v>
      </c>
      <c r="AV79" s="616">
        <f t="shared" si="11"/>
        <v>59.338888888888889</v>
      </c>
      <c r="AW79" s="616">
        <f t="shared" si="11"/>
        <v>59.338888888888889</v>
      </c>
      <c r="AX79" s="616">
        <f t="shared" si="11"/>
        <v>59.338888888888889</v>
      </c>
      <c r="AY79" s="616">
        <f t="shared" si="11"/>
        <v>59.338888888888889</v>
      </c>
      <c r="AZ79" s="616">
        <f t="shared" si="11"/>
        <v>59.338888888888889</v>
      </c>
      <c r="BA79" s="616">
        <f t="shared" si="11"/>
        <v>59.338888888888889</v>
      </c>
      <c r="BB79" s="616">
        <f t="shared" si="11"/>
        <v>59.338888888888889</v>
      </c>
      <c r="BC79" s="616">
        <f t="shared" si="11"/>
        <v>59.338888888888889</v>
      </c>
      <c r="BD79" s="616">
        <f t="shared" si="11"/>
        <v>59.338888888888889</v>
      </c>
      <c r="BE79" s="616">
        <f t="shared" si="11"/>
        <v>59.338888888888889</v>
      </c>
      <c r="BF79" s="616">
        <f t="shared" si="11"/>
        <v>59.338888888888889</v>
      </c>
      <c r="BG79" s="616">
        <f t="shared" si="11"/>
        <v>59.338888888888889</v>
      </c>
      <c r="BH79" s="616">
        <f t="shared" si="11"/>
        <v>59.338888888888889</v>
      </c>
      <c r="BI79" s="616">
        <f t="shared" si="11"/>
        <v>59.338888888888889</v>
      </c>
    </row>
    <row r="80" spans="1:61" s="613" customFormat="1">
      <c r="A80" s="605" t="str">
        <f>A75</f>
        <v>Międzyaglomeracyjne</v>
      </c>
      <c r="P80" s="147">
        <f>X46*$B$63</f>
        <v>8.611111111111111E-2</v>
      </c>
      <c r="Q80" s="616"/>
      <c r="R80" s="616"/>
      <c r="S80" s="650">
        <f>$Y46+$P80*S$35</f>
        <v>83.613888888888894</v>
      </c>
      <c r="T80" s="616">
        <f t="shared" si="12"/>
        <v>83.613888888888894</v>
      </c>
      <c r="U80" s="616">
        <f t="shared" si="11"/>
        <v>83.613888888888894</v>
      </c>
      <c r="V80" s="616">
        <f t="shared" si="11"/>
        <v>83.613888888888894</v>
      </c>
      <c r="W80" s="616">
        <f t="shared" si="11"/>
        <v>83.613888888888894</v>
      </c>
      <c r="X80" s="616">
        <f t="shared" si="11"/>
        <v>83.613888888888894</v>
      </c>
      <c r="Y80" s="616">
        <f t="shared" si="11"/>
        <v>83.613888888888894</v>
      </c>
      <c r="Z80" s="616">
        <f t="shared" si="11"/>
        <v>83.613888888888894</v>
      </c>
      <c r="AA80" s="616">
        <f t="shared" si="11"/>
        <v>83.613888888888894</v>
      </c>
      <c r="AB80" s="616">
        <f t="shared" si="11"/>
        <v>83.613888888888894</v>
      </c>
      <c r="AC80" s="616">
        <f t="shared" si="11"/>
        <v>83.613888888888894</v>
      </c>
      <c r="AD80" s="616">
        <f t="shared" si="11"/>
        <v>83.613888888888894</v>
      </c>
      <c r="AE80" s="616">
        <f t="shared" si="11"/>
        <v>83.613888888888894</v>
      </c>
      <c r="AF80" s="616">
        <f t="shared" si="11"/>
        <v>83.613888888888894</v>
      </c>
      <c r="AG80" s="616">
        <f t="shared" si="11"/>
        <v>83.613888888888894</v>
      </c>
      <c r="AH80" s="616">
        <f t="shared" si="11"/>
        <v>83.613888888888894</v>
      </c>
      <c r="AI80" s="616">
        <f t="shared" si="11"/>
        <v>83.613888888888894</v>
      </c>
      <c r="AJ80" s="616">
        <f t="shared" si="11"/>
        <v>83.613888888888894</v>
      </c>
      <c r="AK80" s="616">
        <f t="shared" si="11"/>
        <v>83.613888888888894</v>
      </c>
      <c r="AL80" s="616">
        <f t="shared" si="11"/>
        <v>83.613888888888894</v>
      </c>
      <c r="AM80" s="616">
        <f t="shared" si="11"/>
        <v>83.613888888888894</v>
      </c>
      <c r="AN80" s="616">
        <f t="shared" si="11"/>
        <v>83.613888888888894</v>
      </c>
      <c r="AO80" s="616">
        <f t="shared" si="11"/>
        <v>83.613888888888894</v>
      </c>
      <c r="AP80" s="616">
        <f t="shared" si="11"/>
        <v>83.613888888888894</v>
      </c>
      <c r="AQ80" s="616">
        <f t="shared" si="11"/>
        <v>83.613888888888894</v>
      </c>
      <c r="AR80" s="616">
        <f t="shared" si="11"/>
        <v>83.613888888888894</v>
      </c>
      <c r="AS80" s="616">
        <f t="shared" si="11"/>
        <v>83.613888888888894</v>
      </c>
      <c r="AT80" s="616">
        <f t="shared" si="11"/>
        <v>83.613888888888894</v>
      </c>
      <c r="AU80" s="616">
        <f t="shared" si="11"/>
        <v>83.613888888888894</v>
      </c>
      <c r="AV80" s="616">
        <f t="shared" si="11"/>
        <v>83.613888888888894</v>
      </c>
      <c r="AW80" s="616">
        <f t="shared" si="11"/>
        <v>83.613888888888894</v>
      </c>
      <c r="AX80" s="616">
        <f t="shared" si="11"/>
        <v>83.613888888888894</v>
      </c>
      <c r="AY80" s="616">
        <f t="shared" si="11"/>
        <v>83.613888888888894</v>
      </c>
      <c r="AZ80" s="616">
        <f t="shared" si="11"/>
        <v>83.613888888888894</v>
      </c>
      <c r="BA80" s="616">
        <f t="shared" si="11"/>
        <v>83.613888888888894</v>
      </c>
      <c r="BB80" s="616">
        <f t="shared" si="11"/>
        <v>83.613888888888894</v>
      </c>
      <c r="BC80" s="616">
        <f t="shared" si="11"/>
        <v>83.613888888888894</v>
      </c>
      <c r="BD80" s="616">
        <f t="shared" si="11"/>
        <v>83.613888888888894</v>
      </c>
      <c r="BE80" s="616">
        <f t="shared" si="11"/>
        <v>83.613888888888894</v>
      </c>
      <c r="BF80" s="616">
        <f t="shared" si="11"/>
        <v>83.613888888888894</v>
      </c>
      <c r="BG80" s="616">
        <f t="shared" si="11"/>
        <v>83.613888888888894</v>
      </c>
      <c r="BH80" s="616">
        <f t="shared" si="11"/>
        <v>83.613888888888894</v>
      </c>
      <c r="BI80" s="616">
        <f t="shared" si="11"/>
        <v>83.613888888888894</v>
      </c>
    </row>
    <row r="81" spans="1:61" s="613" customFormat="1">
      <c r="A81" s="606" t="str">
        <f>A76</f>
        <v>Pociągi dużej prędkości</v>
      </c>
      <c r="B81" s="608"/>
      <c r="C81" s="608"/>
      <c r="D81" s="608"/>
      <c r="E81" s="608"/>
      <c r="F81" s="608"/>
      <c r="G81" s="608"/>
      <c r="H81" s="608"/>
      <c r="I81" s="608"/>
      <c r="J81" s="608"/>
      <c r="K81" s="608"/>
      <c r="L81" s="608"/>
      <c r="M81" s="608"/>
      <c r="N81" s="608"/>
      <c r="O81" s="608"/>
      <c r="P81" s="153"/>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row>
    <row r="82" spans="1:61" s="613" customFormat="1">
      <c r="A82" s="91"/>
    </row>
    <row r="83" spans="1:61" s="613" customFormat="1" ht="30.75" customHeight="1">
      <c r="A83" s="788" t="s">
        <v>75</v>
      </c>
      <c r="B83" s="611"/>
      <c r="C83" s="611"/>
      <c r="D83" s="611"/>
      <c r="E83" s="611"/>
      <c r="F83" s="611"/>
      <c r="G83" s="611"/>
      <c r="H83" s="611"/>
      <c r="I83" s="611"/>
      <c r="J83" s="611"/>
      <c r="K83" s="611"/>
      <c r="L83" s="611"/>
      <c r="M83" s="611"/>
      <c r="N83" s="611"/>
      <c r="O83" s="611"/>
      <c r="P83" s="783" t="s">
        <v>117</v>
      </c>
      <c r="Q83" s="611"/>
      <c r="R83" s="611"/>
      <c r="S83" s="611" t="s">
        <v>725</v>
      </c>
      <c r="T83" s="611"/>
      <c r="U83" s="611"/>
      <c r="V83" s="611"/>
      <c r="W83" s="611"/>
      <c r="X83" s="611"/>
      <c r="Y83" s="611"/>
      <c r="Z83" s="611"/>
      <c r="AA83" s="611"/>
      <c r="AB83" s="611"/>
      <c r="AC83" s="611"/>
      <c r="AD83" s="611"/>
      <c r="AE83" s="611"/>
      <c r="AF83" s="611"/>
      <c r="AG83" s="611"/>
      <c r="AH83" s="611"/>
      <c r="AI83" s="611"/>
      <c r="AJ83" s="611"/>
      <c r="AK83" s="611"/>
      <c r="AL83" s="611"/>
      <c r="AM83" s="611"/>
      <c r="AN83" s="611"/>
      <c r="AO83" s="611"/>
      <c r="AP83" s="611"/>
      <c r="AQ83" s="611"/>
      <c r="AR83" s="611"/>
      <c r="AS83" s="611"/>
      <c r="AT83" s="611"/>
      <c r="AU83" s="611"/>
      <c r="AV83" s="611"/>
      <c r="AW83" s="611"/>
      <c r="AX83" s="611"/>
      <c r="AY83" s="611"/>
      <c r="AZ83" s="611"/>
      <c r="BA83" s="611"/>
      <c r="BB83" s="611"/>
      <c r="BC83" s="611"/>
      <c r="BD83" s="611"/>
      <c r="BE83" s="611"/>
      <c r="BF83" s="611"/>
      <c r="BG83" s="611"/>
      <c r="BH83" s="611"/>
      <c r="BI83" s="611"/>
    </row>
    <row r="84" spans="1:61" ht="30" customHeight="1" thickBot="1">
      <c r="A84" s="786"/>
      <c r="B84" s="604"/>
      <c r="C84" s="604"/>
      <c r="D84" s="604"/>
      <c r="E84" s="604"/>
      <c r="F84" s="604"/>
      <c r="G84" s="604"/>
      <c r="H84" s="604"/>
      <c r="I84" s="604"/>
      <c r="J84" s="604"/>
      <c r="K84" s="604"/>
      <c r="L84" s="604"/>
      <c r="M84" s="604"/>
      <c r="N84" s="604"/>
      <c r="O84" s="604"/>
      <c r="P84" s="784"/>
      <c r="Q84" s="604"/>
      <c r="R84" s="604"/>
      <c r="S84" s="604">
        <v>2019</v>
      </c>
      <c r="T84" s="604">
        <f>S84+1</f>
        <v>2020</v>
      </c>
      <c r="U84" s="604">
        <f t="shared" ref="U84" si="13">T84+1</f>
        <v>2021</v>
      </c>
      <c r="V84" s="604">
        <f t="shared" ref="V84" si="14">U84+1</f>
        <v>2022</v>
      </c>
      <c r="W84" s="604">
        <f t="shared" ref="W84" si="15">V84+1</f>
        <v>2023</v>
      </c>
      <c r="X84" s="604">
        <f t="shared" ref="X84" si="16">W84+1</f>
        <v>2024</v>
      </c>
      <c r="Y84" s="604">
        <f t="shared" ref="Y84" si="17">X84+1</f>
        <v>2025</v>
      </c>
      <c r="Z84" s="604">
        <f t="shared" ref="Z84" si="18">Y84+1</f>
        <v>2026</v>
      </c>
      <c r="AA84" s="604">
        <f t="shared" ref="AA84" si="19">Z84+1</f>
        <v>2027</v>
      </c>
      <c r="AB84" s="604">
        <f t="shared" ref="AB84" si="20">AA84+1</f>
        <v>2028</v>
      </c>
      <c r="AC84" s="604">
        <f t="shared" ref="AC84" si="21">AB84+1</f>
        <v>2029</v>
      </c>
      <c r="AD84" s="604">
        <f t="shared" ref="AD84" si="22">AC84+1</f>
        <v>2030</v>
      </c>
      <c r="AE84" s="604">
        <f t="shared" ref="AE84" si="23">AD84+1</f>
        <v>2031</v>
      </c>
      <c r="AF84" s="604">
        <f t="shared" ref="AF84" si="24">AE84+1</f>
        <v>2032</v>
      </c>
      <c r="AG84" s="604">
        <f t="shared" ref="AG84" si="25">AF84+1</f>
        <v>2033</v>
      </c>
      <c r="AH84" s="604">
        <f t="shared" ref="AH84" si="26">AG84+1</f>
        <v>2034</v>
      </c>
      <c r="AI84" s="604">
        <f t="shared" ref="AI84" si="27">AH84+1</f>
        <v>2035</v>
      </c>
      <c r="AJ84" s="604">
        <f t="shared" ref="AJ84" si="28">AI84+1</f>
        <v>2036</v>
      </c>
      <c r="AK84" s="604">
        <f t="shared" ref="AK84" si="29">AJ84+1</f>
        <v>2037</v>
      </c>
      <c r="AL84" s="604">
        <f t="shared" ref="AL84" si="30">AK84+1</f>
        <v>2038</v>
      </c>
      <c r="AM84" s="604">
        <f t="shared" ref="AM84" si="31">AL84+1</f>
        <v>2039</v>
      </c>
      <c r="AN84" s="604">
        <f t="shared" ref="AN84" si="32">AM84+1</f>
        <v>2040</v>
      </c>
      <c r="AO84" s="604">
        <f t="shared" ref="AO84" si="33">AN84+1</f>
        <v>2041</v>
      </c>
      <c r="AP84" s="604">
        <f t="shared" ref="AP84" si="34">AO84+1</f>
        <v>2042</v>
      </c>
      <c r="AQ84" s="604">
        <f t="shared" ref="AQ84" si="35">AP84+1</f>
        <v>2043</v>
      </c>
      <c r="AR84" s="604">
        <f t="shared" ref="AR84" si="36">AQ84+1</f>
        <v>2044</v>
      </c>
      <c r="AS84" s="604">
        <f t="shared" ref="AS84" si="37">AR84+1</f>
        <v>2045</v>
      </c>
      <c r="AT84" s="604">
        <f t="shared" ref="AT84" si="38">AS84+1</f>
        <v>2046</v>
      </c>
      <c r="AU84" s="604">
        <f t="shared" ref="AU84" si="39">AT84+1</f>
        <v>2047</v>
      </c>
      <c r="AV84" s="604">
        <f t="shared" ref="AV84" si="40">AU84+1</f>
        <v>2048</v>
      </c>
      <c r="AW84" s="604">
        <f t="shared" ref="AW84" si="41">AV84+1</f>
        <v>2049</v>
      </c>
      <c r="AX84" s="604">
        <f t="shared" ref="AX84" si="42">AW84+1</f>
        <v>2050</v>
      </c>
      <c r="AY84" s="604">
        <f t="shared" ref="AY84" si="43">AX84+1</f>
        <v>2051</v>
      </c>
      <c r="AZ84" s="604">
        <f t="shared" ref="AZ84" si="44">AY84+1</f>
        <v>2052</v>
      </c>
      <c r="BA84" s="604">
        <f t="shared" ref="BA84" si="45">AZ84+1</f>
        <v>2053</v>
      </c>
      <c r="BB84" s="604">
        <f t="shared" ref="BB84" si="46">BA84+1</f>
        <v>2054</v>
      </c>
      <c r="BC84" s="604">
        <f t="shared" ref="BC84" si="47">BB84+1</f>
        <v>2055</v>
      </c>
      <c r="BD84" s="604">
        <f t="shared" ref="BD84" si="48">BC84+1</f>
        <v>2056</v>
      </c>
      <c r="BE84" s="604">
        <f t="shared" ref="BE84" si="49">BD84+1</f>
        <v>2057</v>
      </c>
      <c r="BF84" s="604">
        <f t="shared" ref="BF84" si="50">BE84+1</f>
        <v>2058</v>
      </c>
      <c r="BG84" s="604">
        <f t="shared" ref="BG84" si="51">BF84+1</f>
        <v>2059</v>
      </c>
      <c r="BH84" s="604">
        <f t="shared" ref="BH84" si="52">BG84+1</f>
        <v>2060</v>
      </c>
      <c r="BI84" s="604">
        <f t="shared" ref="BI84" si="53">BH84+1</f>
        <v>2061</v>
      </c>
    </row>
    <row r="85" spans="1:61" ht="30">
      <c r="A85" s="131" t="str">
        <f>A54</f>
        <v>Średnio, wszystkie rodzaje 
(1000t - 21 wagonów)</v>
      </c>
      <c r="P85" s="147">
        <f>P54*$B$63</f>
        <v>16.611111111111111</v>
      </c>
      <c r="Q85" s="616"/>
      <c r="R85" s="616"/>
      <c r="S85" s="616">
        <f t="shared" ref="S85:BI85" si="54">$Q54+$P85*S$35</f>
        <v>11943.388888888889</v>
      </c>
      <c r="T85" s="616">
        <f t="shared" si="54"/>
        <v>11203.527435135686</v>
      </c>
      <c r="U85" s="616">
        <f t="shared" si="54"/>
        <v>11107.533513787213</v>
      </c>
      <c r="V85" s="616">
        <f t="shared" si="54"/>
        <v>11011.539592438739</v>
      </c>
      <c r="W85" s="616">
        <f t="shared" si="54"/>
        <v>10915.545671090267</v>
      </c>
      <c r="X85" s="616">
        <f t="shared" si="54"/>
        <v>10819.551749741795</v>
      </c>
      <c r="Y85" s="616">
        <f t="shared" si="54"/>
        <v>10723.557828393317</v>
      </c>
      <c r="Z85" s="616">
        <f t="shared" si="54"/>
        <v>10502.569182901108</v>
      </c>
      <c r="AA85" s="616">
        <f t="shared" si="54"/>
        <v>10281.5805374089</v>
      </c>
      <c r="AB85" s="616">
        <f t="shared" si="54"/>
        <v>10060.591891916691</v>
      </c>
      <c r="AC85" s="616">
        <f t="shared" si="54"/>
        <v>9839.6032464244818</v>
      </c>
      <c r="AD85" s="616">
        <f t="shared" si="54"/>
        <v>9618.6146009322711</v>
      </c>
      <c r="AE85" s="616">
        <f t="shared" si="54"/>
        <v>9177.9210092773264</v>
      </c>
      <c r="AF85" s="616">
        <f t="shared" si="54"/>
        <v>8737.2274176223818</v>
      </c>
      <c r="AG85" s="616">
        <f t="shared" si="54"/>
        <v>8296.5338259674354</v>
      </c>
      <c r="AH85" s="616">
        <f t="shared" si="54"/>
        <v>7855.8402343124908</v>
      </c>
      <c r="AI85" s="616">
        <f t="shared" si="54"/>
        <v>7415.1466426575471</v>
      </c>
      <c r="AJ85" s="616">
        <f t="shared" si="54"/>
        <v>7172.3365880274341</v>
      </c>
      <c r="AK85" s="616">
        <f t="shared" si="54"/>
        <v>6929.5265333973221</v>
      </c>
      <c r="AL85" s="616">
        <f t="shared" si="54"/>
        <v>6686.7164787672091</v>
      </c>
      <c r="AM85" s="616">
        <f t="shared" si="54"/>
        <v>6443.9064241370961</v>
      </c>
      <c r="AN85" s="616">
        <f t="shared" si="54"/>
        <v>6201.096369506984</v>
      </c>
      <c r="AO85" s="616">
        <f t="shared" si="54"/>
        <v>6201.096369506984</v>
      </c>
      <c r="AP85" s="616">
        <f t="shared" si="54"/>
        <v>6201.096369506984</v>
      </c>
      <c r="AQ85" s="616">
        <f t="shared" si="54"/>
        <v>6201.096369506984</v>
      </c>
      <c r="AR85" s="616">
        <f t="shared" si="54"/>
        <v>6201.096369506984</v>
      </c>
      <c r="AS85" s="616">
        <f t="shared" si="54"/>
        <v>6201.096369506984</v>
      </c>
      <c r="AT85" s="616">
        <f t="shared" si="54"/>
        <v>6201.096369506984</v>
      </c>
      <c r="AU85" s="616">
        <f t="shared" si="54"/>
        <v>6201.096369506984</v>
      </c>
      <c r="AV85" s="616">
        <f t="shared" si="54"/>
        <v>6201.096369506984</v>
      </c>
      <c r="AW85" s="616">
        <f t="shared" si="54"/>
        <v>6201.096369506984</v>
      </c>
      <c r="AX85" s="616">
        <f t="shared" si="54"/>
        <v>6201.096369506984</v>
      </c>
      <c r="AY85" s="616">
        <f t="shared" si="54"/>
        <v>6201.096369506984</v>
      </c>
      <c r="AZ85" s="616">
        <f t="shared" si="54"/>
        <v>6201.096369506984</v>
      </c>
      <c r="BA85" s="616">
        <f t="shared" si="54"/>
        <v>6201.096369506984</v>
      </c>
      <c r="BB85" s="616">
        <f t="shared" si="54"/>
        <v>6201.096369506984</v>
      </c>
      <c r="BC85" s="616">
        <f t="shared" si="54"/>
        <v>6201.096369506984</v>
      </c>
      <c r="BD85" s="616">
        <f t="shared" si="54"/>
        <v>6201.096369506984</v>
      </c>
      <c r="BE85" s="616">
        <f t="shared" si="54"/>
        <v>6201.096369506984</v>
      </c>
      <c r="BF85" s="616">
        <f t="shared" si="54"/>
        <v>6201.096369506984</v>
      </c>
      <c r="BG85" s="616">
        <f t="shared" si="54"/>
        <v>6201.096369506984</v>
      </c>
      <c r="BH85" s="616">
        <f t="shared" si="54"/>
        <v>6201.096369506984</v>
      </c>
      <c r="BI85" s="616">
        <f t="shared" si="54"/>
        <v>6201.096369506984</v>
      </c>
    </row>
    <row r="86" spans="1:61" ht="30">
      <c r="A86" s="131" t="str">
        <f>A55</f>
        <v>Masowe 
(1000t - 18 wagonów)</v>
      </c>
      <c r="P86" s="147">
        <f>P55*$B$63</f>
        <v>16.611111111111111</v>
      </c>
      <c r="Q86" s="616"/>
      <c r="R86" s="616"/>
      <c r="S86" s="616">
        <f t="shared" ref="S86:BI86" si="55">$Q55+$P86*S$35</f>
        <v>11943.388888888889</v>
      </c>
      <c r="T86" s="616">
        <f t="shared" si="55"/>
        <v>11203.527435135686</v>
      </c>
      <c r="U86" s="616">
        <f t="shared" si="55"/>
        <v>11107.533513787213</v>
      </c>
      <c r="V86" s="616">
        <f t="shared" si="55"/>
        <v>11011.539592438739</v>
      </c>
      <c r="W86" s="616">
        <f t="shared" si="55"/>
        <v>10915.545671090267</v>
      </c>
      <c r="X86" s="616">
        <f t="shared" si="55"/>
        <v>10819.551749741795</v>
      </c>
      <c r="Y86" s="616">
        <f t="shared" si="55"/>
        <v>10723.557828393317</v>
      </c>
      <c r="Z86" s="616">
        <f t="shared" si="55"/>
        <v>10502.569182901108</v>
      </c>
      <c r="AA86" s="616">
        <f t="shared" si="55"/>
        <v>10281.5805374089</v>
      </c>
      <c r="AB86" s="616">
        <f t="shared" si="55"/>
        <v>10060.591891916691</v>
      </c>
      <c r="AC86" s="616">
        <f t="shared" si="55"/>
        <v>9839.6032464244818</v>
      </c>
      <c r="AD86" s="616">
        <f t="shared" si="55"/>
        <v>9618.6146009322711</v>
      </c>
      <c r="AE86" s="616">
        <f t="shared" si="55"/>
        <v>9177.9210092773264</v>
      </c>
      <c r="AF86" s="616">
        <f t="shared" si="55"/>
        <v>8737.2274176223818</v>
      </c>
      <c r="AG86" s="616">
        <f t="shared" si="55"/>
        <v>8296.5338259674354</v>
      </c>
      <c r="AH86" s="616">
        <f t="shared" si="55"/>
        <v>7855.8402343124908</v>
      </c>
      <c r="AI86" s="616">
        <f t="shared" si="55"/>
        <v>7415.1466426575471</v>
      </c>
      <c r="AJ86" s="616">
        <f t="shared" si="55"/>
        <v>7172.3365880274341</v>
      </c>
      <c r="AK86" s="616">
        <f t="shared" si="55"/>
        <v>6929.5265333973221</v>
      </c>
      <c r="AL86" s="616">
        <f t="shared" si="55"/>
        <v>6686.7164787672091</v>
      </c>
      <c r="AM86" s="616">
        <f t="shared" si="55"/>
        <v>6443.9064241370961</v>
      </c>
      <c r="AN86" s="616">
        <f t="shared" si="55"/>
        <v>6201.096369506984</v>
      </c>
      <c r="AO86" s="616">
        <f t="shared" si="55"/>
        <v>6201.096369506984</v>
      </c>
      <c r="AP86" s="616">
        <f t="shared" si="55"/>
        <v>6201.096369506984</v>
      </c>
      <c r="AQ86" s="616">
        <f t="shared" si="55"/>
        <v>6201.096369506984</v>
      </c>
      <c r="AR86" s="616">
        <f t="shared" si="55"/>
        <v>6201.096369506984</v>
      </c>
      <c r="AS86" s="616">
        <f t="shared" si="55"/>
        <v>6201.096369506984</v>
      </c>
      <c r="AT86" s="616">
        <f t="shared" si="55"/>
        <v>6201.096369506984</v>
      </c>
      <c r="AU86" s="616">
        <f t="shared" si="55"/>
        <v>6201.096369506984</v>
      </c>
      <c r="AV86" s="616">
        <f t="shared" si="55"/>
        <v>6201.096369506984</v>
      </c>
      <c r="AW86" s="616">
        <f t="shared" si="55"/>
        <v>6201.096369506984</v>
      </c>
      <c r="AX86" s="616">
        <f t="shared" si="55"/>
        <v>6201.096369506984</v>
      </c>
      <c r="AY86" s="616">
        <f t="shared" si="55"/>
        <v>6201.096369506984</v>
      </c>
      <c r="AZ86" s="616">
        <f t="shared" si="55"/>
        <v>6201.096369506984</v>
      </c>
      <c r="BA86" s="616">
        <f t="shared" si="55"/>
        <v>6201.096369506984</v>
      </c>
      <c r="BB86" s="616">
        <f t="shared" si="55"/>
        <v>6201.096369506984</v>
      </c>
      <c r="BC86" s="616">
        <f t="shared" si="55"/>
        <v>6201.096369506984</v>
      </c>
      <c r="BD86" s="616">
        <f t="shared" si="55"/>
        <v>6201.096369506984</v>
      </c>
      <c r="BE86" s="616">
        <f t="shared" si="55"/>
        <v>6201.096369506984</v>
      </c>
      <c r="BF86" s="616">
        <f t="shared" si="55"/>
        <v>6201.096369506984</v>
      </c>
      <c r="BG86" s="616">
        <f t="shared" si="55"/>
        <v>6201.096369506984</v>
      </c>
      <c r="BH86" s="616">
        <f t="shared" si="55"/>
        <v>6201.096369506984</v>
      </c>
      <c r="BI86" s="616">
        <f t="shared" si="55"/>
        <v>6201.096369506984</v>
      </c>
    </row>
    <row r="87" spans="1:61" ht="30">
      <c r="A87" s="131" t="str">
        <f>A56</f>
        <v>Gabarytowe 
(1000t - 26 wagonów)</v>
      </c>
      <c r="P87" s="147">
        <f>P56*$B$63</f>
        <v>16.611111111111111</v>
      </c>
      <c r="Q87" s="616"/>
      <c r="R87" s="616"/>
      <c r="S87" s="616">
        <f t="shared" ref="S87:BI87" si="56">$Q56+$P87*S$35</f>
        <v>11943.388888888889</v>
      </c>
      <c r="T87" s="616">
        <f t="shared" si="56"/>
        <v>11203.527435135686</v>
      </c>
      <c r="U87" s="616">
        <f t="shared" si="56"/>
        <v>11107.533513787213</v>
      </c>
      <c r="V87" s="616">
        <f t="shared" si="56"/>
        <v>11011.539592438739</v>
      </c>
      <c r="W87" s="616">
        <f t="shared" si="56"/>
        <v>10915.545671090267</v>
      </c>
      <c r="X87" s="616">
        <f t="shared" si="56"/>
        <v>10819.551749741795</v>
      </c>
      <c r="Y87" s="616">
        <f t="shared" si="56"/>
        <v>10723.557828393317</v>
      </c>
      <c r="Z87" s="616">
        <f t="shared" si="56"/>
        <v>10502.569182901108</v>
      </c>
      <c r="AA87" s="616">
        <f t="shared" si="56"/>
        <v>10281.5805374089</v>
      </c>
      <c r="AB87" s="616">
        <f t="shared" si="56"/>
        <v>10060.591891916691</v>
      </c>
      <c r="AC87" s="616">
        <f t="shared" si="56"/>
        <v>9839.6032464244818</v>
      </c>
      <c r="AD87" s="616">
        <f t="shared" si="56"/>
        <v>9618.6146009322711</v>
      </c>
      <c r="AE87" s="616">
        <f t="shared" si="56"/>
        <v>9177.9210092773264</v>
      </c>
      <c r="AF87" s="616">
        <f t="shared" si="56"/>
        <v>8737.2274176223818</v>
      </c>
      <c r="AG87" s="616">
        <f t="shared" si="56"/>
        <v>8296.5338259674354</v>
      </c>
      <c r="AH87" s="616">
        <f t="shared" si="56"/>
        <v>7855.8402343124908</v>
      </c>
      <c r="AI87" s="616">
        <f t="shared" si="56"/>
        <v>7415.1466426575471</v>
      </c>
      <c r="AJ87" s="616">
        <f t="shared" si="56"/>
        <v>7172.3365880274341</v>
      </c>
      <c r="AK87" s="616">
        <f t="shared" si="56"/>
        <v>6929.5265333973221</v>
      </c>
      <c r="AL87" s="616">
        <f t="shared" si="56"/>
        <v>6686.7164787672091</v>
      </c>
      <c r="AM87" s="616">
        <f t="shared" si="56"/>
        <v>6443.9064241370961</v>
      </c>
      <c r="AN87" s="616">
        <f t="shared" si="56"/>
        <v>6201.096369506984</v>
      </c>
      <c r="AO87" s="616">
        <f t="shared" si="56"/>
        <v>6201.096369506984</v>
      </c>
      <c r="AP87" s="616">
        <f t="shared" si="56"/>
        <v>6201.096369506984</v>
      </c>
      <c r="AQ87" s="616">
        <f t="shared" si="56"/>
        <v>6201.096369506984</v>
      </c>
      <c r="AR87" s="616">
        <f t="shared" si="56"/>
        <v>6201.096369506984</v>
      </c>
      <c r="AS87" s="616">
        <f t="shared" si="56"/>
        <v>6201.096369506984</v>
      </c>
      <c r="AT87" s="616">
        <f t="shared" si="56"/>
        <v>6201.096369506984</v>
      </c>
      <c r="AU87" s="616">
        <f t="shared" si="56"/>
        <v>6201.096369506984</v>
      </c>
      <c r="AV87" s="616">
        <f t="shared" si="56"/>
        <v>6201.096369506984</v>
      </c>
      <c r="AW87" s="616">
        <f t="shared" si="56"/>
        <v>6201.096369506984</v>
      </c>
      <c r="AX87" s="616">
        <f t="shared" si="56"/>
        <v>6201.096369506984</v>
      </c>
      <c r="AY87" s="616">
        <f t="shared" si="56"/>
        <v>6201.096369506984</v>
      </c>
      <c r="AZ87" s="616">
        <f t="shared" si="56"/>
        <v>6201.096369506984</v>
      </c>
      <c r="BA87" s="616">
        <f t="shared" si="56"/>
        <v>6201.096369506984</v>
      </c>
      <c r="BB87" s="616">
        <f t="shared" si="56"/>
        <v>6201.096369506984</v>
      </c>
      <c r="BC87" s="616">
        <f t="shared" si="56"/>
        <v>6201.096369506984</v>
      </c>
      <c r="BD87" s="616">
        <f t="shared" si="56"/>
        <v>6201.096369506984</v>
      </c>
      <c r="BE87" s="616">
        <f t="shared" si="56"/>
        <v>6201.096369506984</v>
      </c>
      <c r="BF87" s="616">
        <f t="shared" si="56"/>
        <v>6201.096369506984</v>
      </c>
      <c r="BG87" s="616">
        <f t="shared" si="56"/>
        <v>6201.096369506984</v>
      </c>
      <c r="BH87" s="616">
        <f t="shared" si="56"/>
        <v>6201.096369506984</v>
      </c>
      <c r="BI87" s="616">
        <f t="shared" si="56"/>
        <v>6201.096369506984</v>
      </c>
    </row>
    <row r="88" spans="1:61" ht="30">
      <c r="A88" s="137" t="str">
        <f>A57</f>
        <v>Kontenerowe 
(1000t - 21 wagonów)</v>
      </c>
      <c r="B88" s="83"/>
      <c r="C88" s="83"/>
      <c r="D88" s="83"/>
      <c r="E88" s="83"/>
      <c r="F88" s="83"/>
      <c r="G88" s="83"/>
      <c r="H88" s="83"/>
      <c r="I88" s="83"/>
      <c r="J88" s="83"/>
      <c r="K88" s="83"/>
      <c r="L88" s="83"/>
      <c r="M88" s="83"/>
      <c r="N88" s="83"/>
      <c r="O88" s="83"/>
      <c r="P88" s="148">
        <f>P57*$B$63</f>
        <v>16.611111111111111</v>
      </c>
      <c r="Q88" s="648"/>
      <c r="R88" s="648"/>
      <c r="S88" s="648">
        <f t="shared" ref="S88:BI88" si="57">$Q57+$P88*S$35</f>
        <v>11943.388888888889</v>
      </c>
      <c r="T88" s="648">
        <f t="shared" si="57"/>
        <v>11203.527435135686</v>
      </c>
      <c r="U88" s="648">
        <f t="shared" si="57"/>
        <v>11107.533513787213</v>
      </c>
      <c r="V88" s="648">
        <f t="shared" si="57"/>
        <v>11011.539592438739</v>
      </c>
      <c r="W88" s="648">
        <f t="shared" si="57"/>
        <v>10915.545671090267</v>
      </c>
      <c r="X88" s="648">
        <f t="shared" si="57"/>
        <v>10819.551749741795</v>
      </c>
      <c r="Y88" s="648">
        <f t="shared" si="57"/>
        <v>10723.557828393317</v>
      </c>
      <c r="Z88" s="648">
        <f t="shared" si="57"/>
        <v>10502.569182901108</v>
      </c>
      <c r="AA88" s="648">
        <f t="shared" si="57"/>
        <v>10281.5805374089</v>
      </c>
      <c r="AB88" s="648">
        <f t="shared" si="57"/>
        <v>10060.591891916691</v>
      </c>
      <c r="AC88" s="648">
        <f t="shared" si="57"/>
        <v>9839.6032464244818</v>
      </c>
      <c r="AD88" s="648">
        <f t="shared" si="57"/>
        <v>9618.6146009322711</v>
      </c>
      <c r="AE88" s="648">
        <f t="shared" si="57"/>
        <v>9177.9210092773264</v>
      </c>
      <c r="AF88" s="648">
        <f t="shared" si="57"/>
        <v>8737.2274176223818</v>
      </c>
      <c r="AG88" s="648">
        <f t="shared" si="57"/>
        <v>8296.5338259674354</v>
      </c>
      <c r="AH88" s="648">
        <f t="shared" si="57"/>
        <v>7855.8402343124908</v>
      </c>
      <c r="AI88" s="648">
        <f t="shared" si="57"/>
        <v>7415.1466426575471</v>
      </c>
      <c r="AJ88" s="648">
        <f t="shared" si="57"/>
        <v>7172.3365880274341</v>
      </c>
      <c r="AK88" s="648">
        <f t="shared" si="57"/>
        <v>6929.5265333973221</v>
      </c>
      <c r="AL88" s="648">
        <f t="shared" si="57"/>
        <v>6686.7164787672091</v>
      </c>
      <c r="AM88" s="648">
        <f t="shared" si="57"/>
        <v>6443.9064241370961</v>
      </c>
      <c r="AN88" s="648">
        <f t="shared" si="57"/>
        <v>6201.096369506984</v>
      </c>
      <c r="AO88" s="648">
        <f t="shared" si="57"/>
        <v>6201.096369506984</v>
      </c>
      <c r="AP88" s="648">
        <f t="shared" si="57"/>
        <v>6201.096369506984</v>
      </c>
      <c r="AQ88" s="648">
        <f t="shared" si="57"/>
        <v>6201.096369506984</v>
      </c>
      <c r="AR88" s="648">
        <f t="shared" si="57"/>
        <v>6201.096369506984</v>
      </c>
      <c r="AS88" s="648">
        <f t="shared" si="57"/>
        <v>6201.096369506984</v>
      </c>
      <c r="AT88" s="648">
        <f t="shared" si="57"/>
        <v>6201.096369506984</v>
      </c>
      <c r="AU88" s="648">
        <f t="shared" si="57"/>
        <v>6201.096369506984</v>
      </c>
      <c r="AV88" s="648">
        <f t="shared" si="57"/>
        <v>6201.096369506984</v>
      </c>
      <c r="AW88" s="648">
        <f t="shared" si="57"/>
        <v>6201.096369506984</v>
      </c>
      <c r="AX88" s="648">
        <f t="shared" si="57"/>
        <v>6201.096369506984</v>
      </c>
      <c r="AY88" s="648">
        <f t="shared" si="57"/>
        <v>6201.096369506984</v>
      </c>
      <c r="AZ88" s="648">
        <f t="shared" si="57"/>
        <v>6201.096369506984</v>
      </c>
      <c r="BA88" s="648">
        <f t="shared" si="57"/>
        <v>6201.096369506984</v>
      </c>
      <c r="BB88" s="648">
        <f t="shared" si="57"/>
        <v>6201.096369506984</v>
      </c>
      <c r="BC88" s="648">
        <f t="shared" si="57"/>
        <v>6201.096369506984</v>
      </c>
      <c r="BD88" s="648">
        <f t="shared" si="57"/>
        <v>6201.096369506984</v>
      </c>
      <c r="BE88" s="648">
        <f t="shared" si="57"/>
        <v>6201.096369506984</v>
      </c>
      <c r="BF88" s="648">
        <f t="shared" si="57"/>
        <v>6201.096369506984</v>
      </c>
      <c r="BG88" s="648">
        <f t="shared" si="57"/>
        <v>6201.096369506984</v>
      </c>
      <c r="BH88" s="648">
        <f t="shared" si="57"/>
        <v>6201.096369506984</v>
      </c>
      <c r="BI88" s="648">
        <f t="shared" si="57"/>
        <v>6201.096369506984</v>
      </c>
    </row>
    <row r="89" spans="1:61" s="613" customFormat="1" ht="30.75" thickBot="1">
      <c r="A89" s="604" t="s">
        <v>216</v>
      </c>
      <c r="B89" s="158"/>
      <c r="C89" s="158"/>
      <c r="D89" s="158"/>
      <c r="E89" s="158"/>
      <c r="F89" s="158"/>
      <c r="G89" s="158"/>
      <c r="H89" s="158"/>
      <c r="I89" s="158"/>
      <c r="J89" s="158"/>
      <c r="K89" s="158"/>
      <c r="L89" s="158"/>
      <c r="M89" s="158"/>
      <c r="N89" s="158"/>
      <c r="O89" s="158"/>
      <c r="P89" s="157" t="s">
        <v>475</v>
      </c>
      <c r="Q89" s="604"/>
      <c r="R89" s="604"/>
      <c r="S89" s="604">
        <v>2019</v>
      </c>
      <c r="T89" s="604">
        <f>S89+1</f>
        <v>2020</v>
      </c>
      <c r="U89" s="604">
        <f t="shared" ref="U89" si="58">T89+1</f>
        <v>2021</v>
      </c>
      <c r="V89" s="604">
        <f t="shared" ref="V89" si="59">U89+1</f>
        <v>2022</v>
      </c>
      <c r="W89" s="604">
        <f t="shared" ref="W89" si="60">V89+1</f>
        <v>2023</v>
      </c>
      <c r="X89" s="604">
        <f t="shared" ref="X89" si="61">W89+1</f>
        <v>2024</v>
      </c>
      <c r="Y89" s="604">
        <f t="shared" ref="Y89" si="62">X89+1</f>
        <v>2025</v>
      </c>
      <c r="Z89" s="604">
        <f t="shared" ref="Z89" si="63">Y89+1</f>
        <v>2026</v>
      </c>
      <c r="AA89" s="604">
        <f t="shared" ref="AA89" si="64">Z89+1</f>
        <v>2027</v>
      </c>
      <c r="AB89" s="604">
        <f t="shared" ref="AB89" si="65">AA89+1</f>
        <v>2028</v>
      </c>
      <c r="AC89" s="604">
        <f t="shared" ref="AC89" si="66">AB89+1</f>
        <v>2029</v>
      </c>
      <c r="AD89" s="604">
        <f t="shared" ref="AD89" si="67">AC89+1</f>
        <v>2030</v>
      </c>
      <c r="AE89" s="604">
        <f t="shared" ref="AE89" si="68">AD89+1</f>
        <v>2031</v>
      </c>
      <c r="AF89" s="604">
        <f t="shared" ref="AF89" si="69">AE89+1</f>
        <v>2032</v>
      </c>
      <c r="AG89" s="604">
        <f t="shared" ref="AG89" si="70">AF89+1</f>
        <v>2033</v>
      </c>
      <c r="AH89" s="604">
        <f t="shared" ref="AH89" si="71">AG89+1</f>
        <v>2034</v>
      </c>
      <c r="AI89" s="604">
        <f t="shared" ref="AI89" si="72">AH89+1</f>
        <v>2035</v>
      </c>
      <c r="AJ89" s="604">
        <f t="shared" ref="AJ89" si="73">AI89+1</f>
        <v>2036</v>
      </c>
      <c r="AK89" s="604">
        <f t="shared" ref="AK89" si="74">AJ89+1</f>
        <v>2037</v>
      </c>
      <c r="AL89" s="604">
        <f t="shared" ref="AL89" si="75">AK89+1</f>
        <v>2038</v>
      </c>
      <c r="AM89" s="604">
        <f t="shared" ref="AM89" si="76">AL89+1</f>
        <v>2039</v>
      </c>
      <c r="AN89" s="604">
        <f t="shared" ref="AN89" si="77">AM89+1</f>
        <v>2040</v>
      </c>
      <c r="AO89" s="604">
        <f t="shared" ref="AO89" si="78">AN89+1</f>
        <v>2041</v>
      </c>
      <c r="AP89" s="604">
        <f t="shared" ref="AP89" si="79">AO89+1</f>
        <v>2042</v>
      </c>
      <c r="AQ89" s="604">
        <f t="shared" ref="AQ89" si="80">AP89+1</f>
        <v>2043</v>
      </c>
      <c r="AR89" s="604">
        <f t="shared" ref="AR89" si="81">AQ89+1</f>
        <v>2044</v>
      </c>
      <c r="AS89" s="604">
        <f t="shared" ref="AS89" si="82">AR89+1</f>
        <v>2045</v>
      </c>
      <c r="AT89" s="604">
        <f t="shared" ref="AT89" si="83">AS89+1</f>
        <v>2046</v>
      </c>
      <c r="AU89" s="604">
        <f t="shared" ref="AU89" si="84">AT89+1</f>
        <v>2047</v>
      </c>
      <c r="AV89" s="604">
        <f t="shared" ref="AV89" si="85">AU89+1</f>
        <v>2048</v>
      </c>
      <c r="AW89" s="604">
        <f t="shared" ref="AW89" si="86">AV89+1</f>
        <v>2049</v>
      </c>
      <c r="AX89" s="604">
        <f t="shared" ref="AX89" si="87">AW89+1</f>
        <v>2050</v>
      </c>
      <c r="AY89" s="604">
        <f t="shared" ref="AY89" si="88">AX89+1</f>
        <v>2051</v>
      </c>
      <c r="AZ89" s="604">
        <f t="shared" ref="AZ89" si="89">AY89+1</f>
        <v>2052</v>
      </c>
      <c r="BA89" s="604">
        <f t="shared" ref="BA89" si="90">AZ89+1</f>
        <v>2053</v>
      </c>
      <c r="BB89" s="604">
        <f t="shared" ref="BB89" si="91">BA89+1</f>
        <v>2054</v>
      </c>
      <c r="BC89" s="604">
        <f t="shared" ref="BC89" si="92">BB89+1</f>
        <v>2055</v>
      </c>
      <c r="BD89" s="604">
        <f t="shared" ref="BD89" si="93">BC89+1</f>
        <v>2056</v>
      </c>
      <c r="BE89" s="604">
        <f t="shared" ref="BE89" si="94">BD89+1</f>
        <v>2057</v>
      </c>
      <c r="BF89" s="604">
        <f t="shared" ref="BF89" si="95">BE89+1</f>
        <v>2058</v>
      </c>
      <c r="BG89" s="604">
        <f t="shared" ref="BG89" si="96">BF89+1</f>
        <v>2059</v>
      </c>
      <c r="BH89" s="604">
        <f t="shared" ref="BH89" si="97">BG89+1</f>
        <v>2060</v>
      </c>
      <c r="BI89" s="604">
        <f t="shared" ref="BI89" si="98">BH89+1</f>
        <v>2061</v>
      </c>
    </row>
    <row r="90" spans="1:61" s="613" customFormat="1" ht="30">
      <c r="A90" s="605" t="str">
        <f>A85</f>
        <v>Średnio, wszystkie rodzaje 
(1000t - 21 wagonów)</v>
      </c>
      <c r="P90" s="147">
        <f>X54*$B$63</f>
        <v>44.861111111111114</v>
      </c>
      <c r="Q90" s="616"/>
      <c r="R90" s="616"/>
      <c r="S90" s="649">
        <f>$Y54+$P90*S$35</f>
        <v>32266.572888888892</v>
      </c>
      <c r="T90" s="616">
        <f>$S90</f>
        <v>32266.572888888892</v>
      </c>
      <c r="U90" s="616">
        <f t="shared" ref="U90:BI93" si="99">$S90</f>
        <v>32266.572888888892</v>
      </c>
      <c r="V90" s="616">
        <f t="shared" si="99"/>
        <v>32266.572888888892</v>
      </c>
      <c r="W90" s="616">
        <f t="shared" si="99"/>
        <v>32266.572888888892</v>
      </c>
      <c r="X90" s="616">
        <f t="shared" si="99"/>
        <v>32266.572888888892</v>
      </c>
      <c r="Y90" s="616">
        <f t="shared" si="99"/>
        <v>32266.572888888892</v>
      </c>
      <c r="Z90" s="616">
        <f t="shared" si="99"/>
        <v>32266.572888888892</v>
      </c>
      <c r="AA90" s="616">
        <f t="shared" si="99"/>
        <v>32266.572888888892</v>
      </c>
      <c r="AB90" s="616">
        <f t="shared" si="99"/>
        <v>32266.572888888892</v>
      </c>
      <c r="AC90" s="616">
        <f t="shared" si="99"/>
        <v>32266.572888888892</v>
      </c>
      <c r="AD90" s="616">
        <f t="shared" si="99"/>
        <v>32266.572888888892</v>
      </c>
      <c r="AE90" s="616">
        <f t="shared" si="99"/>
        <v>32266.572888888892</v>
      </c>
      <c r="AF90" s="616">
        <f t="shared" si="99"/>
        <v>32266.572888888892</v>
      </c>
      <c r="AG90" s="616">
        <f t="shared" si="99"/>
        <v>32266.572888888892</v>
      </c>
      <c r="AH90" s="616">
        <f t="shared" si="99"/>
        <v>32266.572888888892</v>
      </c>
      <c r="AI90" s="616">
        <f t="shared" si="99"/>
        <v>32266.572888888892</v>
      </c>
      <c r="AJ90" s="616">
        <f t="shared" si="99"/>
        <v>32266.572888888892</v>
      </c>
      <c r="AK90" s="616">
        <f t="shared" si="99"/>
        <v>32266.572888888892</v>
      </c>
      <c r="AL90" s="616">
        <f t="shared" si="99"/>
        <v>32266.572888888892</v>
      </c>
      <c r="AM90" s="616">
        <f t="shared" si="99"/>
        <v>32266.572888888892</v>
      </c>
      <c r="AN90" s="616">
        <f t="shared" si="99"/>
        <v>32266.572888888892</v>
      </c>
      <c r="AO90" s="616">
        <f t="shared" si="99"/>
        <v>32266.572888888892</v>
      </c>
      <c r="AP90" s="616">
        <f t="shared" si="99"/>
        <v>32266.572888888892</v>
      </c>
      <c r="AQ90" s="616">
        <f t="shared" si="99"/>
        <v>32266.572888888892</v>
      </c>
      <c r="AR90" s="616">
        <f t="shared" si="99"/>
        <v>32266.572888888892</v>
      </c>
      <c r="AS90" s="616">
        <f t="shared" si="99"/>
        <v>32266.572888888892</v>
      </c>
      <c r="AT90" s="616">
        <f t="shared" si="99"/>
        <v>32266.572888888892</v>
      </c>
      <c r="AU90" s="616">
        <f t="shared" si="99"/>
        <v>32266.572888888892</v>
      </c>
      <c r="AV90" s="616">
        <f t="shared" si="99"/>
        <v>32266.572888888892</v>
      </c>
      <c r="AW90" s="616">
        <f t="shared" si="99"/>
        <v>32266.572888888892</v>
      </c>
      <c r="AX90" s="616">
        <f t="shared" si="99"/>
        <v>32266.572888888892</v>
      </c>
      <c r="AY90" s="616">
        <f t="shared" si="99"/>
        <v>32266.572888888892</v>
      </c>
      <c r="AZ90" s="616">
        <f t="shared" si="99"/>
        <v>32266.572888888892</v>
      </c>
      <c r="BA90" s="616">
        <f t="shared" si="99"/>
        <v>32266.572888888892</v>
      </c>
      <c r="BB90" s="616">
        <f t="shared" si="99"/>
        <v>32266.572888888892</v>
      </c>
      <c r="BC90" s="616">
        <f t="shared" si="99"/>
        <v>32266.572888888892</v>
      </c>
      <c r="BD90" s="616">
        <f t="shared" si="99"/>
        <v>32266.572888888892</v>
      </c>
      <c r="BE90" s="616">
        <f t="shared" si="99"/>
        <v>32266.572888888892</v>
      </c>
      <c r="BF90" s="616">
        <f t="shared" si="99"/>
        <v>32266.572888888892</v>
      </c>
      <c r="BG90" s="616">
        <f t="shared" si="99"/>
        <v>32266.572888888892</v>
      </c>
      <c r="BH90" s="616">
        <f t="shared" si="99"/>
        <v>32266.572888888892</v>
      </c>
      <c r="BI90" s="616">
        <f t="shared" si="99"/>
        <v>32266.572888888892</v>
      </c>
    </row>
    <row r="91" spans="1:61" s="613" customFormat="1" ht="30">
      <c r="A91" s="605" t="str">
        <f>A86</f>
        <v>Masowe 
(1000t - 18 wagonów)</v>
      </c>
      <c r="P91" s="147">
        <f>X55*$B$63</f>
        <v>44.861111111111114</v>
      </c>
      <c r="Q91" s="616"/>
      <c r="R91" s="616"/>
      <c r="S91" s="617">
        <f>$Y55+$P91*S$35</f>
        <v>32266.572888888892</v>
      </c>
      <c r="T91" s="616">
        <f t="shared" ref="T91:AI93" si="100">$S91</f>
        <v>32266.572888888892</v>
      </c>
      <c r="U91" s="616">
        <f t="shared" si="100"/>
        <v>32266.572888888892</v>
      </c>
      <c r="V91" s="616">
        <f t="shared" si="100"/>
        <v>32266.572888888892</v>
      </c>
      <c r="W91" s="616">
        <f t="shared" si="100"/>
        <v>32266.572888888892</v>
      </c>
      <c r="X91" s="616">
        <f t="shared" si="100"/>
        <v>32266.572888888892</v>
      </c>
      <c r="Y91" s="616">
        <f t="shared" si="100"/>
        <v>32266.572888888892</v>
      </c>
      <c r="Z91" s="616">
        <f t="shared" si="100"/>
        <v>32266.572888888892</v>
      </c>
      <c r="AA91" s="616">
        <f t="shared" si="100"/>
        <v>32266.572888888892</v>
      </c>
      <c r="AB91" s="616">
        <f t="shared" si="100"/>
        <v>32266.572888888892</v>
      </c>
      <c r="AC91" s="616">
        <f t="shared" si="100"/>
        <v>32266.572888888892</v>
      </c>
      <c r="AD91" s="616">
        <f t="shared" si="100"/>
        <v>32266.572888888892</v>
      </c>
      <c r="AE91" s="616">
        <f t="shared" si="100"/>
        <v>32266.572888888892</v>
      </c>
      <c r="AF91" s="616">
        <f t="shared" si="100"/>
        <v>32266.572888888892</v>
      </c>
      <c r="AG91" s="616">
        <f t="shared" si="100"/>
        <v>32266.572888888892</v>
      </c>
      <c r="AH91" s="616">
        <f t="shared" si="100"/>
        <v>32266.572888888892</v>
      </c>
      <c r="AI91" s="616">
        <f t="shared" si="100"/>
        <v>32266.572888888892</v>
      </c>
      <c r="AJ91" s="616">
        <f t="shared" si="99"/>
        <v>32266.572888888892</v>
      </c>
      <c r="AK91" s="616">
        <f t="shared" si="99"/>
        <v>32266.572888888892</v>
      </c>
      <c r="AL91" s="616">
        <f t="shared" si="99"/>
        <v>32266.572888888892</v>
      </c>
      <c r="AM91" s="616">
        <f t="shared" si="99"/>
        <v>32266.572888888892</v>
      </c>
      <c r="AN91" s="616">
        <f t="shared" si="99"/>
        <v>32266.572888888892</v>
      </c>
      <c r="AO91" s="616">
        <f t="shared" si="99"/>
        <v>32266.572888888892</v>
      </c>
      <c r="AP91" s="616">
        <f t="shared" si="99"/>
        <v>32266.572888888892</v>
      </c>
      <c r="AQ91" s="616">
        <f t="shared" si="99"/>
        <v>32266.572888888892</v>
      </c>
      <c r="AR91" s="616">
        <f t="shared" si="99"/>
        <v>32266.572888888892</v>
      </c>
      <c r="AS91" s="616">
        <f t="shared" si="99"/>
        <v>32266.572888888892</v>
      </c>
      <c r="AT91" s="616">
        <f t="shared" si="99"/>
        <v>32266.572888888892</v>
      </c>
      <c r="AU91" s="616">
        <f t="shared" si="99"/>
        <v>32266.572888888892</v>
      </c>
      <c r="AV91" s="616">
        <f t="shared" si="99"/>
        <v>32266.572888888892</v>
      </c>
      <c r="AW91" s="616">
        <f t="shared" si="99"/>
        <v>32266.572888888892</v>
      </c>
      <c r="AX91" s="616">
        <f t="shared" si="99"/>
        <v>32266.572888888892</v>
      </c>
      <c r="AY91" s="616">
        <f t="shared" si="99"/>
        <v>32266.572888888892</v>
      </c>
      <c r="AZ91" s="616">
        <f t="shared" si="99"/>
        <v>32266.572888888892</v>
      </c>
      <c r="BA91" s="616">
        <f t="shared" si="99"/>
        <v>32266.572888888892</v>
      </c>
      <c r="BB91" s="616">
        <f t="shared" si="99"/>
        <v>32266.572888888892</v>
      </c>
      <c r="BC91" s="616">
        <f t="shared" si="99"/>
        <v>32266.572888888892</v>
      </c>
      <c r="BD91" s="616">
        <f t="shared" si="99"/>
        <v>32266.572888888892</v>
      </c>
      <c r="BE91" s="616">
        <f t="shared" si="99"/>
        <v>32266.572888888892</v>
      </c>
      <c r="BF91" s="616">
        <f t="shared" si="99"/>
        <v>32266.572888888892</v>
      </c>
      <c r="BG91" s="616">
        <f t="shared" si="99"/>
        <v>32266.572888888892</v>
      </c>
      <c r="BH91" s="616">
        <f t="shared" si="99"/>
        <v>32266.572888888892</v>
      </c>
      <c r="BI91" s="616">
        <f t="shared" si="99"/>
        <v>32266.572888888892</v>
      </c>
    </row>
    <row r="92" spans="1:61" s="613" customFormat="1" ht="30">
      <c r="A92" s="605" t="str">
        <f>A87</f>
        <v>Gabarytowe 
(1000t - 26 wagonów)</v>
      </c>
      <c r="P92" s="147">
        <f>X56*$B$63</f>
        <v>44.861111111111114</v>
      </c>
      <c r="Q92" s="616"/>
      <c r="R92" s="616"/>
      <c r="S92" s="617">
        <f>$Y56+$P92*S$35</f>
        <v>32266.572888888892</v>
      </c>
      <c r="T92" s="616">
        <f t="shared" si="100"/>
        <v>32266.572888888892</v>
      </c>
      <c r="U92" s="616">
        <f t="shared" si="99"/>
        <v>32266.572888888892</v>
      </c>
      <c r="V92" s="616">
        <f t="shared" si="99"/>
        <v>32266.572888888892</v>
      </c>
      <c r="W92" s="616">
        <f t="shared" si="99"/>
        <v>32266.572888888892</v>
      </c>
      <c r="X92" s="616">
        <f t="shared" si="99"/>
        <v>32266.572888888892</v>
      </c>
      <c r="Y92" s="616">
        <f t="shared" si="99"/>
        <v>32266.572888888892</v>
      </c>
      <c r="Z92" s="616">
        <f t="shared" si="99"/>
        <v>32266.572888888892</v>
      </c>
      <c r="AA92" s="616">
        <f t="shared" si="99"/>
        <v>32266.572888888892</v>
      </c>
      <c r="AB92" s="616">
        <f t="shared" si="99"/>
        <v>32266.572888888892</v>
      </c>
      <c r="AC92" s="616">
        <f t="shared" si="99"/>
        <v>32266.572888888892</v>
      </c>
      <c r="AD92" s="616">
        <f t="shared" si="99"/>
        <v>32266.572888888892</v>
      </c>
      <c r="AE92" s="616">
        <f t="shared" si="99"/>
        <v>32266.572888888892</v>
      </c>
      <c r="AF92" s="616">
        <f t="shared" si="99"/>
        <v>32266.572888888892</v>
      </c>
      <c r="AG92" s="616">
        <f t="shared" si="99"/>
        <v>32266.572888888892</v>
      </c>
      <c r="AH92" s="616">
        <f t="shared" si="99"/>
        <v>32266.572888888892</v>
      </c>
      <c r="AI92" s="616">
        <f t="shared" si="99"/>
        <v>32266.572888888892</v>
      </c>
      <c r="AJ92" s="616">
        <f t="shared" si="99"/>
        <v>32266.572888888892</v>
      </c>
      <c r="AK92" s="616">
        <f t="shared" si="99"/>
        <v>32266.572888888892</v>
      </c>
      <c r="AL92" s="616">
        <f t="shared" si="99"/>
        <v>32266.572888888892</v>
      </c>
      <c r="AM92" s="616">
        <f t="shared" si="99"/>
        <v>32266.572888888892</v>
      </c>
      <c r="AN92" s="616">
        <f t="shared" si="99"/>
        <v>32266.572888888892</v>
      </c>
      <c r="AO92" s="616">
        <f t="shared" si="99"/>
        <v>32266.572888888892</v>
      </c>
      <c r="AP92" s="616">
        <f t="shared" si="99"/>
        <v>32266.572888888892</v>
      </c>
      <c r="AQ92" s="616">
        <f t="shared" si="99"/>
        <v>32266.572888888892</v>
      </c>
      <c r="AR92" s="616">
        <f t="shared" si="99"/>
        <v>32266.572888888892</v>
      </c>
      <c r="AS92" s="616">
        <f t="shared" si="99"/>
        <v>32266.572888888892</v>
      </c>
      <c r="AT92" s="616">
        <f t="shared" si="99"/>
        <v>32266.572888888892</v>
      </c>
      <c r="AU92" s="616">
        <f t="shared" si="99"/>
        <v>32266.572888888892</v>
      </c>
      <c r="AV92" s="616">
        <f t="shared" si="99"/>
        <v>32266.572888888892</v>
      </c>
      <c r="AW92" s="616">
        <f t="shared" si="99"/>
        <v>32266.572888888892</v>
      </c>
      <c r="AX92" s="616">
        <f t="shared" si="99"/>
        <v>32266.572888888892</v>
      </c>
      <c r="AY92" s="616">
        <f t="shared" si="99"/>
        <v>32266.572888888892</v>
      </c>
      <c r="AZ92" s="616">
        <f t="shared" si="99"/>
        <v>32266.572888888892</v>
      </c>
      <c r="BA92" s="616">
        <f t="shared" si="99"/>
        <v>32266.572888888892</v>
      </c>
      <c r="BB92" s="616">
        <f t="shared" si="99"/>
        <v>32266.572888888892</v>
      </c>
      <c r="BC92" s="616">
        <f t="shared" si="99"/>
        <v>32266.572888888892</v>
      </c>
      <c r="BD92" s="616">
        <f t="shared" si="99"/>
        <v>32266.572888888892</v>
      </c>
      <c r="BE92" s="616">
        <f t="shared" si="99"/>
        <v>32266.572888888892</v>
      </c>
      <c r="BF92" s="616">
        <f t="shared" si="99"/>
        <v>32266.572888888892</v>
      </c>
      <c r="BG92" s="616">
        <f t="shared" si="99"/>
        <v>32266.572888888892</v>
      </c>
      <c r="BH92" s="616">
        <f t="shared" si="99"/>
        <v>32266.572888888892</v>
      </c>
      <c r="BI92" s="616">
        <f t="shared" si="99"/>
        <v>32266.572888888892</v>
      </c>
    </row>
    <row r="93" spans="1:61" s="613" customFormat="1" ht="30">
      <c r="A93" s="606" t="str">
        <f>A88</f>
        <v>Kontenerowe 
(1000t - 21 wagonów)</v>
      </c>
      <c r="B93" s="608"/>
      <c r="C93" s="608"/>
      <c r="D93" s="608"/>
      <c r="E93" s="608"/>
      <c r="F93" s="608"/>
      <c r="G93" s="608"/>
      <c r="H93" s="608"/>
      <c r="I93" s="608"/>
      <c r="J93" s="608"/>
      <c r="K93" s="608"/>
      <c r="L93" s="608"/>
      <c r="M93" s="608"/>
      <c r="N93" s="608"/>
      <c r="O93" s="608"/>
      <c r="P93" s="148">
        <f>X57*$B$63</f>
        <v>44.861111111111114</v>
      </c>
      <c r="Q93" s="648"/>
      <c r="R93" s="648"/>
      <c r="S93" s="650">
        <f>$Y57+$P93*S$35</f>
        <v>32266.572888888892</v>
      </c>
      <c r="T93" s="648">
        <f t="shared" si="100"/>
        <v>32266.572888888892</v>
      </c>
      <c r="U93" s="648">
        <f t="shared" si="99"/>
        <v>32266.572888888892</v>
      </c>
      <c r="V93" s="648">
        <f t="shared" si="99"/>
        <v>32266.572888888892</v>
      </c>
      <c r="W93" s="648">
        <f t="shared" si="99"/>
        <v>32266.572888888892</v>
      </c>
      <c r="X93" s="648">
        <f t="shared" si="99"/>
        <v>32266.572888888892</v>
      </c>
      <c r="Y93" s="648">
        <f t="shared" si="99"/>
        <v>32266.572888888892</v>
      </c>
      <c r="Z93" s="648">
        <f t="shared" si="99"/>
        <v>32266.572888888892</v>
      </c>
      <c r="AA93" s="648">
        <f t="shared" si="99"/>
        <v>32266.572888888892</v>
      </c>
      <c r="AB93" s="648">
        <f t="shared" si="99"/>
        <v>32266.572888888892</v>
      </c>
      <c r="AC93" s="648">
        <f t="shared" si="99"/>
        <v>32266.572888888892</v>
      </c>
      <c r="AD93" s="648">
        <f t="shared" si="99"/>
        <v>32266.572888888892</v>
      </c>
      <c r="AE93" s="648">
        <f t="shared" si="99"/>
        <v>32266.572888888892</v>
      </c>
      <c r="AF93" s="648">
        <f t="shared" si="99"/>
        <v>32266.572888888892</v>
      </c>
      <c r="AG93" s="648">
        <f t="shared" si="99"/>
        <v>32266.572888888892</v>
      </c>
      <c r="AH93" s="648">
        <f t="shared" si="99"/>
        <v>32266.572888888892</v>
      </c>
      <c r="AI93" s="648">
        <f t="shared" si="99"/>
        <v>32266.572888888892</v>
      </c>
      <c r="AJ93" s="648">
        <f t="shared" si="99"/>
        <v>32266.572888888892</v>
      </c>
      <c r="AK93" s="648">
        <f t="shared" si="99"/>
        <v>32266.572888888892</v>
      </c>
      <c r="AL93" s="648">
        <f t="shared" si="99"/>
        <v>32266.572888888892</v>
      </c>
      <c r="AM93" s="648">
        <f t="shared" si="99"/>
        <v>32266.572888888892</v>
      </c>
      <c r="AN93" s="648">
        <f t="shared" si="99"/>
        <v>32266.572888888892</v>
      </c>
      <c r="AO93" s="648">
        <f t="shared" si="99"/>
        <v>32266.572888888892</v>
      </c>
      <c r="AP93" s="648">
        <f t="shared" si="99"/>
        <v>32266.572888888892</v>
      </c>
      <c r="AQ93" s="648">
        <f t="shared" si="99"/>
        <v>32266.572888888892</v>
      </c>
      <c r="AR93" s="648">
        <f t="shared" si="99"/>
        <v>32266.572888888892</v>
      </c>
      <c r="AS93" s="648">
        <f t="shared" si="99"/>
        <v>32266.572888888892</v>
      </c>
      <c r="AT93" s="648">
        <f t="shared" si="99"/>
        <v>32266.572888888892</v>
      </c>
      <c r="AU93" s="648">
        <f t="shared" si="99"/>
        <v>32266.572888888892</v>
      </c>
      <c r="AV93" s="648">
        <f t="shared" si="99"/>
        <v>32266.572888888892</v>
      </c>
      <c r="AW93" s="648">
        <f t="shared" si="99"/>
        <v>32266.572888888892</v>
      </c>
      <c r="AX93" s="648">
        <f t="shared" si="99"/>
        <v>32266.572888888892</v>
      </c>
      <c r="AY93" s="648">
        <f t="shared" si="99"/>
        <v>32266.572888888892</v>
      </c>
      <c r="AZ93" s="648">
        <f t="shared" si="99"/>
        <v>32266.572888888892</v>
      </c>
      <c r="BA93" s="648">
        <f t="shared" si="99"/>
        <v>32266.572888888892</v>
      </c>
      <c r="BB93" s="648">
        <f t="shared" si="99"/>
        <v>32266.572888888892</v>
      </c>
      <c r="BC93" s="648">
        <f t="shared" si="99"/>
        <v>32266.572888888892</v>
      </c>
      <c r="BD93" s="648">
        <f t="shared" si="99"/>
        <v>32266.572888888892</v>
      </c>
      <c r="BE93" s="648">
        <f t="shared" si="99"/>
        <v>32266.572888888892</v>
      </c>
      <c r="BF93" s="648">
        <f t="shared" si="99"/>
        <v>32266.572888888892</v>
      </c>
      <c r="BG93" s="648">
        <f t="shared" si="99"/>
        <v>32266.572888888892</v>
      </c>
      <c r="BH93" s="648">
        <f t="shared" si="99"/>
        <v>32266.572888888892</v>
      </c>
      <c r="BI93" s="648">
        <f t="shared" si="99"/>
        <v>32266.572888888892</v>
      </c>
    </row>
    <row r="94" spans="1:61" s="613" customFormat="1">
      <c r="A94" s="91"/>
    </row>
    <row r="95" spans="1:61" s="613" customFormat="1" ht="18">
      <c r="A95" s="1" t="s">
        <v>524</v>
      </c>
    </row>
    <row r="96" spans="1:61" s="613" customFormat="1">
      <c r="A96" s="609"/>
      <c r="B96" s="610"/>
      <c r="C96" s="610"/>
      <c r="D96" s="610"/>
      <c r="E96" s="610"/>
      <c r="F96" s="610"/>
      <c r="G96" s="610"/>
      <c r="H96" s="610"/>
      <c r="I96" s="610"/>
      <c r="J96" s="610"/>
      <c r="K96" s="610"/>
      <c r="L96" s="610"/>
      <c r="M96" s="610"/>
      <c r="N96" s="610"/>
      <c r="O96" s="610"/>
      <c r="P96" s="609"/>
      <c r="Q96" s="609"/>
      <c r="R96" s="609"/>
      <c r="S96" s="609">
        <v>2019</v>
      </c>
      <c r="T96" s="609">
        <f t="shared" ref="T96" si="101">S96+1</f>
        <v>2020</v>
      </c>
      <c r="U96" s="609">
        <f t="shared" ref="U96" si="102">T96+1</f>
        <v>2021</v>
      </c>
      <c r="V96" s="609">
        <f t="shared" ref="V96" si="103">U96+1</f>
        <v>2022</v>
      </c>
      <c r="W96" s="609">
        <f t="shared" ref="W96" si="104">V96+1</f>
        <v>2023</v>
      </c>
      <c r="X96" s="609">
        <f t="shared" ref="X96" si="105">W96+1</f>
        <v>2024</v>
      </c>
      <c r="Y96" s="609">
        <f t="shared" ref="Y96" si="106">X96+1</f>
        <v>2025</v>
      </c>
      <c r="Z96" s="609">
        <f t="shared" ref="Z96" si="107">Y96+1</f>
        <v>2026</v>
      </c>
      <c r="AA96" s="609">
        <f t="shared" ref="AA96" si="108">Z96+1</f>
        <v>2027</v>
      </c>
      <c r="AB96" s="609">
        <f t="shared" ref="AB96" si="109">AA96+1</f>
        <v>2028</v>
      </c>
      <c r="AC96" s="609">
        <f t="shared" ref="AC96" si="110">AB96+1</f>
        <v>2029</v>
      </c>
      <c r="AD96" s="609">
        <f t="shared" ref="AD96" si="111">AC96+1</f>
        <v>2030</v>
      </c>
      <c r="AE96" s="609">
        <f t="shared" ref="AE96" si="112">AD96+1</f>
        <v>2031</v>
      </c>
      <c r="AF96" s="609">
        <f t="shared" ref="AF96" si="113">AE96+1</f>
        <v>2032</v>
      </c>
      <c r="AG96" s="609">
        <f t="shared" ref="AG96" si="114">AF96+1</f>
        <v>2033</v>
      </c>
      <c r="AH96" s="609">
        <f t="shared" ref="AH96" si="115">AG96+1</f>
        <v>2034</v>
      </c>
      <c r="AI96" s="609">
        <f t="shared" ref="AI96" si="116">AH96+1</f>
        <v>2035</v>
      </c>
      <c r="AJ96" s="609">
        <f t="shared" ref="AJ96" si="117">AI96+1</f>
        <v>2036</v>
      </c>
      <c r="AK96" s="609">
        <f t="shared" ref="AK96" si="118">AJ96+1</f>
        <v>2037</v>
      </c>
      <c r="AL96" s="609">
        <f t="shared" ref="AL96" si="119">AK96+1</f>
        <v>2038</v>
      </c>
      <c r="AM96" s="609">
        <f t="shared" ref="AM96" si="120">AL96+1</f>
        <v>2039</v>
      </c>
      <c r="AN96" s="609">
        <f t="shared" ref="AN96" si="121">AM96+1</f>
        <v>2040</v>
      </c>
      <c r="AO96" s="609">
        <f t="shared" ref="AO96" si="122">AN96+1</f>
        <v>2041</v>
      </c>
      <c r="AP96" s="609">
        <f t="shared" ref="AP96" si="123">AO96+1</f>
        <v>2042</v>
      </c>
      <c r="AQ96" s="609">
        <f t="shared" ref="AQ96" si="124">AP96+1</f>
        <v>2043</v>
      </c>
      <c r="AR96" s="609">
        <f t="shared" ref="AR96" si="125">AQ96+1</f>
        <v>2044</v>
      </c>
      <c r="AS96" s="609">
        <f t="shared" ref="AS96" si="126">AR96+1</f>
        <v>2045</v>
      </c>
      <c r="AT96" s="609">
        <f t="shared" ref="AT96" si="127">AS96+1</f>
        <v>2046</v>
      </c>
      <c r="AU96" s="609">
        <f t="shared" ref="AU96" si="128">AT96+1</f>
        <v>2047</v>
      </c>
      <c r="AV96" s="609">
        <f t="shared" ref="AV96" si="129">AU96+1</f>
        <v>2048</v>
      </c>
      <c r="AW96" s="609">
        <f t="shared" ref="AW96" si="130">AV96+1</f>
        <v>2049</v>
      </c>
      <c r="AX96" s="609">
        <f t="shared" ref="AX96" si="131">AW96+1</f>
        <v>2050</v>
      </c>
      <c r="AY96" s="609">
        <f t="shared" ref="AY96" si="132">AX96+1</f>
        <v>2051</v>
      </c>
      <c r="AZ96" s="609">
        <f t="shared" ref="AZ96" si="133">AY96+1</f>
        <v>2052</v>
      </c>
      <c r="BA96" s="609">
        <f t="shared" ref="BA96" si="134">AZ96+1</f>
        <v>2053</v>
      </c>
      <c r="BB96" s="609">
        <f t="shared" ref="BB96" si="135">BA96+1</f>
        <v>2054</v>
      </c>
      <c r="BC96" s="609">
        <f t="shared" ref="BC96" si="136">BB96+1</f>
        <v>2055</v>
      </c>
      <c r="BD96" s="609">
        <f t="shared" ref="BD96" si="137">BC96+1</f>
        <v>2056</v>
      </c>
      <c r="BE96" s="609">
        <f t="shared" ref="BE96" si="138">BD96+1</f>
        <v>2057</v>
      </c>
      <c r="BF96" s="609">
        <f t="shared" ref="BF96" si="139">BE96+1</f>
        <v>2058</v>
      </c>
      <c r="BG96" s="609">
        <f t="shared" ref="BG96" si="140">BF96+1</f>
        <v>2059</v>
      </c>
      <c r="BH96" s="609">
        <f t="shared" ref="BH96" si="141">BG96+1</f>
        <v>2060</v>
      </c>
      <c r="BI96" s="609">
        <f t="shared" ref="BI96" si="142">BH96+1</f>
        <v>2061</v>
      </c>
    </row>
    <row r="97" spans="1:61" s="613" customFormat="1" ht="33">
      <c r="A97" s="665" t="s">
        <v>523</v>
      </c>
      <c r="B97" s="533"/>
      <c r="C97" s="533"/>
      <c r="D97" s="533"/>
      <c r="E97" s="533"/>
      <c r="F97" s="533"/>
      <c r="G97" s="533"/>
      <c r="H97" s="533"/>
      <c r="I97" s="533"/>
      <c r="J97" s="533"/>
      <c r="K97" s="533"/>
      <c r="L97" s="533"/>
      <c r="M97" s="533"/>
      <c r="N97" s="533"/>
      <c r="O97" s="533"/>
      <c r="P97" s="533"/>
      <c r="Q97" s="533"/>
      <c r="R97" s="533"/>
      <c r="S97" s="644"/>
      <c r="T97" s="533">
        <f>(T$35-S$35)/S$35</f>
        <v>-6.1947363569606874E-2</v>
      </c>
      <c r="U97" s="533">
        <f t="shared" ref="U97:BI97" si="143">(U$35-T$35)/T$35</f>
        <v>-8.5681872878200505E-3</v>
      </c>
      <c r="V97" s="533">
        <f t="shared" si="143"/>
        <v>-8.6422355808623407E-3</v>
      </c>
      <c r="W97" s="533">
        <f t="shared" si="143"/>
        <v>-8.7175749169887736E-3</v>
      </c>
      <c r="X97" s="533">
        <f t="shared" si="143"/>
        <v>-8.7942393574250589E-3</v>
      </c>
      <c r="Y97" s="533">
        <f t="shared" si="143"/>
        <v>-8.872264172198021E-3</v>
      </c>
      <c r="Z97" s="533">
        <f t="shared" si="143"/>
        <v>-2.0607773001147616E-2</v>
      </c>
      <c r="AA97" s="533">
        <f t="shared" si="143"/>
        <v>-2.1041389172850523E-2</v>
      </c>
      <c r="AB97" s="533">
        <f t="shared" si="143"/>
        <v>-2.1493645328960399E-2</v>
      </c>
      <c r="AC97" s="533">
        <f t="shared" si="143"/>
        <v>-2.1965769794296604E-2</v>
      </c>
      <c r="AD97" s="533">
        <f t="shared" si="143"/>
        <v>-2.2459101241964586E-2</v>
      </c>
      <c r="AE97" s="533">
        <f t="shared" si="143"/>
        <v>-4.5816742840723797E-2</v>
      </c>
      <c r="AF97" s="533">
        <f t="shared" si="143"/>
        <v>-4.8016712195439286E-2</v>
      </c>
      <c r="AG97" s="533">
        <f t="shared" si="143"/>
        <v>-5.0438608335419619E-2</v>
      </c>
      <c r="AH97" s="533">
        <f t="shared" si="143"/>
        <v>-5.3117796045815187E-2</v>
      </c>
      <c r="AI97" s="533">
        <f t="shared" si="143"/>
        <v>-5.6097575626614264E-2</v>
      </c>
      <c r="AJ97" s="533">
        <f t="shared" si="143"/>
        <v>-3.2745145353334636E-2</v>
      </c>
      <c r="AK97" s="533">
        <f t="shared" si="143"/>
        <v>-3.3853689331232478E-2</v>
      </c>
      <c r="AL97" s="533">
        <f t="shared" si="143"/>
        <v>-3.5039919893498236E-2</v>
      </c>
      <c r="AM97" s="533">
        <f t="shared" si="143"/>
        <v>-3.6312299975798913E-2</v>
      </c>
      <c r="AN97" s="533">
        <f t="shared" si="143"/>
        <v>-3.7680568066695112E-2</v>
      </c>
      <c r="AO97" s="533">
        <f t="shared" si="143"/>
        <v>0</v>
      </c>
      <c r="AP97" s="533">
        <f t="shared" si="143"/>
        <v>0</v>
      </c>
      <c r="AQ97" s="533">
        <f t="shared" si="143"/>
        <v>0</v>
      </c>
      <c r="AR97" s="533">
        <f t="shared" si="143"/>
        <v>0</v>
      </c>
      <c r="AS97" s="533">
        <f t="shared" si="143"/>
        <v>0</v>
      </c>
      <c r="AT97" s="533">
        <f t="shared" si="143"/>
        <v>0</v>
      </c>
      <c r="AU97" s="533">
        <f t="shared" si="143"/>
        <v>0</v>
      </c>
      <c r="AV97" s="533">
        <f t="shared" si="143"/>
        <v>0</v>
      </c>
      <c r="AW97" s="533">
        <f t="shared" si="143"/>
        <v>0</v>
      </c>
      <c r="AX97" s="533">
        <f t="shared" si="143"/>
        <v>0</v>
      </c>
      <c r="AY97" s="533">
        <f t="shared" si="143"/>
        <v>0</v>
      </c>
      <c r="AZ97" s="533">
        <f t="shared" si="143"/>
        <v>0</v>
      </c>
      <c r="BA97" s="533">
        <f t="shared" si="143"/>
        <v>0</v>
      </c>
      <c r="BB97" s="533">
        <f t="shared" si="143"/>
        <v>0</v>
      </c>
      <c r="BC97" s="533">
        <f t="shared" si="143"/>
        <v>0</v>
      </c>
      <c r="BD97" s="533">
        <f t="shared" si="143"/>
        <v>0</v>
      </c>
      <c r="BE97" s="533">
        <f t="shared" si="143"/>
        <v>0</v>
      </c>
      <c r="BF97" s="533">
        <f t="shared" si="143"/>
        <v>0</v>
      </c>
      <c r="BG97" s="533">
        <f t="shared" si="143"/>
        <v>0</v>
      </c>
      <c r="BH97" s="533">
        <f t="shared" si="143"/>
        <v>0</v>
      </c>
      <c r="BI97" s="533">
        <f t="shared" si="143"/>
        <v>0</v>
      </c>
    </row>
    <row r="98" spans="1:61" s="694" customFormat="1" ht="48">
      <c r="A98" s="693" t="s">
        <v>849</v>
      </c>
      <c r="B98" s="533"/>
      <c r="C98" s="533"/>
      <c r="D98" s="533"/>
      <c r="E98" s="533"/>
      <c r="F98" s="533"/>
      <c r="G98" s="533"/>
      <c r="H98" s="533"/>
      <c r="I98" s="533"/>
      <c r="J98" s="533"/>
      <c r="K98" s="533"/>
      <c r="L98" s="533"/>
      <c r="M98" s="533"/>
      <c r="N98" s="533"/>
      <c r="O98" s="533"/>
      <c r="P98" s="533"/>
      <c r="Q98" s="533"/>
      <c r="R98" s="533"/>
      <c r="S98" s="533">
        <f>(S$35-$S$35)/$S$35</f>
        <v>0</v>
      </c>
      <c r="T98" s="533">
        <f t="shared" ref="T98:BI98" si="144">(T$35-$S$35)/$S$35</f>
        <v>-6.1947363569606874E-2</v>
      </c>
      <c r="U98" s="533">
        <f t="shared" si="144"/>
        <v>-6.9984774244375852E-2</v>
      </c>
      <c r="V98" s="533">
        <f t="shared" si="144"/>
        <v>-7.8022184919144838E-2</v>
      </c>
      <c r="W98" s="533">
        <f t="shared" si="144"/>
        <v>-8.605959559391381E-2</v>
      </c>
      <c r="X98" s="533">
        <f t="shared" si="144"/>
        <v>-9.4097006268682781E-2</v>
      </c>
      <c r="Y98" s="533">
        <f t="shared" si="144"/>
        <v>-0.10213441694345209</v>
      </c>
      <c r="Z98" s="533">
        <f t="shared" si="144"/>
        <v>-0.12063742706462446</v>
      </c>
      <c r="AA98" s="533">
        <f t="shared" si="144"/>
        <v>-0.13914043718579686</v>
      </c>
      <c r="AB98" s="533">
        <f t="shared" si="144"/>
        <v>-0.15764344730696925</v>
      </c>
      <c r="AC98" s="533">
        <f t="shared" si="144"/>
        <v>-0.17614645742814164</v>
      </c>
      <c r="AD98" s="533">
        <f t="shared" si="144"/>
        <v>-0.1946494675493142</v>
      </c>
      <c r="AE98" s="533">
        <f t="shared" si="144"/>
        <v>-0.23154800579124724</v>
      </c>
      <c r="AF98" s="533">
        <f t="shared" si="144"/>
        <v>-0.2684465440331803</v>
      </c>
      <c r="AG98" s="533">
        <f t="shared" si="144"/>
        <v>-0.30534508227511337</v>
      </c>
      <c r="AH98" s="533">
        <f t="shared" si="144"/>
        <v>-0.34224362051704643</v>
      </c>
      <c r="AI98" s="533">
        <f t="shared" si="144"/>
        <v>-0.37914215875897939</v>
      </c>
      <c r="AJ98" s="533">
        <f t="shared" si="144"/>
        <v>-0.39947223901417417</v>
      </c>
      <c r="AK98" s="533">
        <f t="shared" si="144"/>
        <v>-0.41980231926936895</v>
      </c>
      <c r="AL98" s="533">
        <f t="shared" si="144"/>
        <v>-0.44013239952456373</v>
      </c>
      <c r="AM98" s="533">
        <f t="shared" si="144"/>
        <v>-0.46046247977975852</v>
      </c>
      <c r="AN98" s="533">
        <f t="shared" si="144"/>
        <v>-0.48079256003495319</v>
      </c>
      <c r="AO98" s="533">
        <f t="shared" si="144"/>
        <v>-0.48079256003495319</v>
      </c>
      <c r="AP98" s="533">
        <f t="shared" si="144"/>
        <v>-0.48079256003495319</v>
      </c>
      <c r="AQ98" s="533">
        <f t="shared" si="144"/>
        <v>-0.48079256003495319</v>
      </c>
      <c r="AR98" s="533">
        <f t="shared" si="144"/>
        <v>-0.48079256003495319</v>
      </c>
      <c r="AS98" s="533">
        <f t="shared" si="144"/>
        <v>-0.48079256003495319</v>
      </c>
      <c r="AT98" s="533">
        <f t="shared" si="144"/>
        <v>-0.48079256003495319</v>
      </c>
      <c r="AU98" s="533">
        <f t="shared" si="144"/>
        <v>-0.48079256003495319</v>
      </c>
      <c r="AV98" s="533">
        <f t="shared" si="144"/>
        <v>-0.48079256003495319</v>
      </c>
      <c r="AW98" s="533">
        <f t="shared" si="144"/>
        <v>-0.48079256003495319</v>
      </c>
      <c r="AX98" s="533">
        <f t="shared" si="144"/>
        <v>-0.48079256003495319</v>
      </c>
      <c r="AY98" s="533">
        <f t="shared" si="144"/>
        <v>-0.48079256003495319</v>
      </c>
      <c r="AZ98" s="533">
        <f t="shared" si="144"/>
        <v>-0.48079256003495319</v>
      </c>
      <c r="BA98" s="533">
        <f t="shared" si="144"/>
        <v>-0.48079256003495319</v>
      </c>
      <c r="BB98" s="533">
        <f t="shared" si="144"/>
        <v>-0.48079256003495319</v>
      </c>
      <c r="BC98" s="533">
        <f t="shared" si="144"/>
        <v>-0.48079256003495319</v>
      </c>
      <c r="BD98" s="533">
        <f t="shared" si="144"/>
        <v>-0.48079256003495319</v>
      </c>
      <c r="BE98" s="533">
        <f t="shared" si="144"/>
        <v>-0.48079256003495319</v>
      </c>
      <c r="BF98" s="533">
        <f t="shared" si="144"/>
        <v>-0.48079256003495319</v>
      </c>
      <c r="BG98" s="533">
        <f t="shared" si="144"/>
        <v>-0.48079256003495319</v>
      </c>
      <c r="BH98" s="533">
        <f t="shared" si="144"/>
        <v>-0.48079256003495319</v>
      </c>
      <c r="BI98" s="533">
        <f t="shared" si="144"/>
        <v>-0.48079256003495319</v>
      </c>
    </row>
    <row r="99" spans="1:61"/>
    <row r="100" spans="1:61">
      <c r="A100" s="787" t="s">
        <v>726</v>
      </c>
      <c r="B100" s="787"/>
      <c r="C100" s="787"/>
      <c r="D100" s="787"/>
      <c r="E100" s="787"/>
      <c r="F100" s="787"/>
      <c r="G100" s="787"/>
      <c r="H100" s="787"/>
      <c r="I100" s="787"/>
      <c r="J100" s="787"/>
      <c r="K100" s="787"/>
      <c r="L100" s="787"/>
      <c r="M100" s="787"/>
      <c r="N100" s="787"/>
      <c r="O100" s="787"/>
      <c r="P100" s="787"/>
      <c r="Q100" s="787"/>
      <c r="R100" s="787"/>
      <c r="S100" s="787"/>
      <c r="T100" s="787"/>
      <c r="U100" s="787"/>
      <c r="V100" s="787"/>
    </row>
    <row r="101" spans="1:61">
      <c r="A101" s="789"/>
      <c r="B101" s="789"/>
      <c r="C101" s="789"/>
      <c r="D101" s="789"/>
      <c r="E101" s="789"/>
      <c r="F101" s="789"/>
      <c r="G101" s="789"/>
      <c r="H101" s="789"/>
      <c r="I101" s="789"/>
      <c r="J101" s="789"/>
      <c r="K101" s="789"/>
      <c r="L101" s="789"/>
      <c r="M101" s="789"/>
      <c r="N101" s="789"/>
      <c r="O101" s="789"/>
      <c r="P101" s="789"/>
      <c r="Q101" s="789"/>
      <c r="R101" s="789"/>
      <c r="S101" s="789"/>
      <c r="T101" s="789"/>
      <c r="U101" s="789"/>
      <c r="V101" s="789"/>
    </row>
    <row r="102" spans="1:61" s="534" customFormat="1">
      <c r="A102" s="718" t="s">
        <v>51</v>
      </c>
      <c r="B102" s="685" t="s">
        <v>328</v>
      </c>
      <c r="C102" s="671"/>
      <c r="D102" s="671"/>
      <c r="E102" s="671"/>
      <c r="F102" s="671"/>
      <c r="G102" s="671"/>
      <c r="H102" s="671"/>
      <c r="I102" s="671"/>
      <c r="J102" s="671"/>
      <c r="K102" s="671"/>
      <c r="L102" s="671"/>
      <c r="M102" s="671"/>
      <c r="N102" s="671"/>
      <c r="O102" s="671"/>
      <c r="P102" s="674"/>
      <c r="Q102" s="6"/>
      <c r="R102" s="6"/>
      <c r="S102" s="6"/>
      <c r="T102" s="6">
        <v>2020</v>
      </c>
      <c r="U102" s="6">
        <f>T102+1</f>
        <v>2021</v>
      </c>
      <c r="V102" s="6">
        <f t="shared" ref="V102:BI102" si="145">U102+1</f>
        <v>2022</v>
      </c>
      <c r="W102" s="6">
        <f t="shared" si="145"/>
        <v>2023</v>
      </c>
      <c r="X102" s="6">
        <f t="shared" si="145"/>
        <v>2024</v>
      </c>
      <c r="Y102" s="6">
        <f t="shared" si="145"/>
        <v>2025</v>
      </c>
      <c r="Z102" s="6">
        <f t="shared" si="145"/>
        <v>2026</v>
      </c>
      <c r="AA102" s="6">
        <f t="shared" si="145"/>
        <v>2027</v>
      </c>
      <c r="AB102" s="6">
        <f t="shared" si="145"/>
        <v>2028</v>
      </c>
      <c r="AC102" s="6">
        <f t="shared" si="145"/>
        <v>2029</v>
      </c>
      <c r="AD102" s="6">
        <f t="shared" si="145"/>
        <v>2030</v>
      </c>
      <c r="AE102" s="6">
        <f t="shared" si="145"/>
        <v>2031</v>
      </c>
      <c r="AF102" s="6">
        <f t="shared" si="145"/>
        <v>2032</v>
      </c>
      <c r="AG102" s="6">
        <f t="shared" si="145"/>
        <v>2033</v>
      </c>
      <c r="AH102" s="6">
        <f t="shared" si="145"/>
        <v>2034</v>
      </c>
      <c r="AI102" s="6">
        <f t="shared" si="145"/>
        <v>2035</v>
      </c>
      <c r="AJ102" s="6">
        <f t="shared" si="145"/>
        <v>2036</v>
      </c>
      <c r="AK102" s="6">
        <f t="shared" si="145"/>
        <v>2037</v>
      </c>
      <c r="AL102" s="6">
        <f t="shared" si="145"/>
        <v>2038</v>
      </c>
      <c r="AM102" s="6">
        <f t="shared" si="145"/>
        <v>2039</v>
      </c>
      <c r="AN102" s="6">
        <f t="shared" si="145"/>
        <v>2040</v>
      </c>
      <c r="AO102" s="6">
        <f t="shared" si="145"/>
        <v>2041</v>
      </c>
      <c r="AP102" s="6">
        <f t="shared" si="145"/>
        <v>2042</v>
      </c>
      <c r="AQ102" s="6">
        <f t="shared" si="145"/>
        <v>2043</v>
      </c>
      <c r="AR102" s="6">
        <f t="shared" si="145"/>
        <v>2044</v>
      </c>
      <c r="AS102" s="6">
        <f t="shared" si="145"/>
        <v>2045</v>
      </c>
      <c r="AT102" s="6">
        <f t="shared" si="145"/>
        <v>2046</v>
      </c>
      <c r="AU102" s="6">
        <f t="shared" si="145"/>
        <v>2047</v>
      </c>
      <c r="AV102" s="6">
        <f t="shared" si="145"/>
        <v>2048</v>
      </c>
      <c r="AW102" s="6">
        <f t="shared" si="145"/>
        <v>2049</v>
      </c>
      <c r="AX102" s="6">
        <f t="shared" si="145"/>
        <v>2050</v>
      </c>
      <c r="AY102" s="6">
        <f t="shared" si="145"/>
        <v>2051</v>
      </c>
      <c r="AZ102" s="6">
        <f t="shared" si="145"/>
        <v>2052</v>
      </c>
      <c r="BA102" s="6">
        <f t="shared" si="145"/>
        <v>2053</v>
      </c>
      <c r="BB102" s="6">
        <f t="shared" si="145"/>
        <v>2054</v>
      </c>
      <c r="BC102" s="6">
        <f t="shared" si="145"/>
        <v>2055</v>
      </c>
      <c r="BD102" s="6">
        <f t="shared" si="145"/>
        <v>2056</v>
      </c>
      <c r="BE102" s="6">
        <f t="shared" si="145"/>
        <v>2057</v>
      </c>
      <c r="BF102" s="6">
        <f t="shared" si="145"/>
        <v>2058</v>
      </c>
      <c r="BG102" s="6">
        <f t="shared" si="145"/>
        <v>2059</v>
      </c>
      <c r="BH102" s="6">
        <f t="shared" si="145"/>
        <v>2060</v>
      </c>
      <c r="BI102" s="6">
        <f t="shared" si="145"/>
        <v>2061</v>
      </c>
    </row>
    <row r="103" spans="1:61">
      <c r="A103" s="719"/>
      <c r="B103" s="686" t="s">
        <v>530</v>
      </c>
      <c r="C103" s="681"/>
      <c r="D103" s="681"/>
      <c r="E103" s="681"/>
      <c r="F103" s="681"/>
      <c r="G103" s="681"/>
      <c r="H103" s="681"/>
      <c r="I103" s="681"/>
      <c r="J103" s="681"/>
      <c r="K103" s="681"/>
      <c r="L103" s="681"/>
      <c r="M103" s="681"/>
      <c r="N103" s="681"/>
      <c r="O103" s="681"/>
      <c r="P103" s="687"/>
      <c r="Q103" s="683">
        <f>DATE(2016,12,31)</f>
        <v>42735</v>
      </c>
      <c r="R103" s="683">
        <f>DATE(YEAR(Q103+1),12,31)</f>
        <v>43100</v>
      </c>
      <c r="S103" s="683">
        <f t="shared" ref="S103" si="146">DATE(YEAR(R103+1),12,31)</f>
        <v>43465</v>
      </c>
      <c r="T103" s="683">
        <f>DATE(YEAR(S103+1),12,31)</f>
        <v>43830</v>
      </c>
      <c r="U103" s="683">
        <f t="shared" ref="U103:BI103" si="147">DATE(YEAR(T103+1),12,31)</f>
        <v>44196</v>
      </c>
      <c r="V103" s="683">
        <f t="shared" si="147"/>
        <v>44561</v>
      </c>
      <c r="W103" s="683">
        <f t="shared" si="147"/>
        <v>44926</v>
      </c>
      <c r="X103" s="683">
        <f t="shared" si="147"/>
        <v>45291</v>
      </c>
      <c r="Y103" s="683">
        <f t="shared" si="147"/>
        <v>45657</v>
      </c>
      <c r="Z103" s="683">
        <f t="shared" si="147"/>
        <v>46022</v>
      </c>
      <c r="AA103" s="683">
        <f t="shared" si="147"/>
        <v>46387</v>
      </c>
      <c r="AB103" s="683">
        <f t="shared" si="147"/>
        <v>46752</v>
      </c>
      <c r="AC103" s="683">
        <f t="shared" si="147"/>
        <v>47118</v>
      </c>
      <c r="AD103" s="683">
        <f t="shared" si="147"/>
        <v>47483</v>
      </c>
      <c r="AE103" s="683">
        <f t="shared" si="147"/>
        <v>47848</v>
      </c>
      <c r="AF103" s="683">
        <f t="shared" si="147"/>
        <v>48213</v>
      </c>
      <c r="AG103" s="683">
        <f t="shared" si="147"/>
        <v>48579</v>
      </c>
      <c r="AH103" s="683">
        <f t="shared" si="147"/>
        <v>48944</v>
      </c>
      <c r="AI103" s="683">
        <f t="shared" si="147"/>
        <v>49309</v>
      </c>
      <c r="AJ103" s="683">
        <f t="shared" si="147"/>
        <v>49674</v>
      </c>
      <c r="AK103" s="683">
        <f t="shared" si="147"/>
        <v>50040</v>
      </c>
      <c r="AL103" s="683">
        <f t="shared" si="147"/>
        <v>50405</v>
      </c>
      <c r="AM103" s="683">
        <f t="shared" si="147"/>
        <v>50770</v>
      </c>
      <c r="AN103" s="683">
        <f t="shared" si="147"/>
        <v>51135</v>
      </c>
      <c r="AO103" s="683">
        <f t="shared" si="147"/>
        <v>51501</v>
      </c>
      <c r="AP103" s="683">
        <f t="shared" si="147"/>
        <v>51866</v>
      </c>
      <c r="AQ103" s="683">
        <f t="shared" si="147"/>
        <v>52231</v>
      </c>
      <c r="AR103" s="683">
        <f t="shared" si="147"/>
        <v>52596</v>
      </c>
      <c r="AS103" s="683">
        <f t="shared" si="147"/>
        <v>52962</v>
      </c>
      <c r="AT103" s="683">
        <f t="shared" si="147"/>
        <v>53327</v>
      </c>
      <c r="AU103" s="683">
        <f t="shared" si="147"/>
        <v>53692</v>
      </c>
      <c r="AV103" s="683">
        <f t="shared" si="147"/>
        <v>54057</v>
      </c>
      <c r="AW103" s="683">
        <f t="shared" si="147"/>
        <v>54423</v>
      </c>
      <c r="AX103" s="683">
        <f t="shared" si="147"/>
        <v>54788</v>
      </c>
      <c r="AY103" s="683">
        <f t="shared" si="147"/>
        <v>55153</v>
      </c>
      <c r="AZ103" s="683">
        <f t="shared" si="147"/>
        <v>55518</v>
      </c>
      <c r="BA103" s="683">
        <f t="shared" si="147"/>
        <v>55884</v>
      </c>
      <c r="BB103" s="683">
        <f t="shared" si="147"/>
        <v>56249</v>
      </c>
      <c r="BC103" s="683">
        <f t="shared" si="147"/>
        <v>56614</v>
      </c>
      <c r="BD103" s="683">
        <f t="shared" si="147"/>
        <v>56979</v>
      </c>
      <c r="BE103" s="683">
        <f t="shared" si="147"/>
        <v>57345</v>
      </c>
      <c r="BF103" s="683">
        <f t="shared" si="147"/>
        <v>57710</v>
      </c>
      <c r="BG103" s="683">
        <f t="shared" si="147"/>
        <v>58075</v>
      </c>
      <c r="BH103" s="683">
        <f t="shared" si="147"/>
        <v>58440</v>
      </c>
      <c r="BI103" s="683">
        <f t="shared" si="147"/>
        <v>58806</v>
      </c>
    </row>
    <row r="104" spans="1:61">
      <c r="A104" s="8" t="s">
        <v>53</v>
      </c>
      <c r="B104" s="129" t="s">
        <v>58</v>
      </c>
      <c r="C104" s="13"/>
      <c r="D104" s="13"/>
      <c r="E104" s="13"/>
      <c r="F104" s="13"/>
      <c r="G104" s="13"/>
      <c r="H104" s="13"/>
      <c r="I104" s="13"/>
      <c r="J104" s="13"/>
      <c r="K104" s="13"/>
      <c r="L104" s="13"/>
      <c r="M104" s="13"/>
      <c r="N104" s="13"/>
      <c r="O104" s="13"/>
      <c r="P104" s="13"/>
      <c r="Q104" s="93"/>
      <c r="R104" s="93"/>
      <c r="S104" s="93"/>
      <c r="T104" s="10">
        <f t="shared" ref="T104:BI104" si="148">T$9*(T$73*10^-6)</f>
        <v>7.6262476500120547E-3</v>
      </c>
      <c r="U104" s="10">
        <f t="shared" si="148"/>
        <v>7.8179752859261313E-3</v>
      </c>
      <c r="V104" s="10">
        <f t="shared" si="148"/>
        <v>9.876638742760839E-3</v>
      </c>
      <c r="W104" s="10">
        <f t="shared" si="148"/>
        <v>1.1506405960036888E-2</v>
      </c>
      <c r="X104" s="10">
        <f t="shared" si="148"/>
        <v>1.3105993677336497E-2</v>
      </c>
      <c r="Y104" s="10">
        <f t="shared" si="148"/>
        <v>1.4675401894659681E-2</v>
      </c>
      <c r="Z104" s="10">
        <f t="shared" si="148"/>
        <v>1.602392432238376E-2</v>
      </c>
      <c r="AA104" s="10">
        <f t="shared" si="148"/>
        <v>1.73029701965122E-2</v>
      </c>
      <c r="AB104" s="10">
        <f t="shared" si="148"/>
        <v>1.8512539517044988E-2</v>
      </c>
      <c r="AC104" s="10">
        <f t="shared" si="148"/>
        <v>1.9652632283982133E-2</v>
      </c>
      <c r="AD104" s="10">
        <f t="shared" si="148"/>
        <v>2.0723248497323619E-2</v>
      </c>
      <c r="AE104" s="10">
        <f t="shared" si="148"/>
        <v>2.1216498658902714E-2</v>
      </c>
      <c r="AF104" s="10">
        <f t="shared" si="148"/>
        <v>2.2459900389691621E-2</v>
      </c>
      <c r="AG104" s="10">
        <f t="shared" si="148"/>
        <v>2.3475102902263057E-2</v>
      </c>
      <c r="AH104" s="10">
        <f t="shared" si="148"/>
        <v>2.4262106196617009E-2</v>
      </c>
      <c r="AI104" s="10">
        <f t="shared" si="148"/>
        <v>2.4820910272753492E-2</v>
      </c>
      <c r="AJ104" s="10">
        <f t="shared" si="148"/>
        <v>2.5865129623335186E-2</v>
      </c>
      <c r="AK104" s="10">
        <f t="shared" si="148"/>
        <v>2.6719541837823914E-2</v>
      </c>
      <c r="AL104" s="10">
        <f t="shared" si="148"/>
        <v>2.7452712966696886E-2</v>
      </c>
      <c r="AM104" s="10">
        <f t="shared" si="148"/>
        <v>2.8064643009954104E-2</v>
      </c>
      <c r="AN104" s="10">
        <f t="shared" si="148"/>
        <v>2.8555331967595576E-2</v>
      </c>
      <c r="AO104" s="10">
        <f t="shared" si="148"/>
        <v>3.0103512616441119E-2</v>
      </c>
      <c r="AP104" s="10">
        <f t="shared" si="148"/>
        <v>3.1651693265286662E-2</v>
      </c>
      <c r="AQ104" s="10">
        <f t="shared" si="148"/>
        <v>3.3199873914132212E-2</v>
      </c>
      <c r="AR104" s="10">
        <f t="shared" si="148"/>
        <v>3.4748054562977755E-2</v>
      </c>
      <c r="AS104" s="10">
        <f t="shared" si="148"/>
        <v>3.6296235211823298E-2</v>
      </c>
      <c r="AT104" s="10">
        <f t="shared" si="148"/>
        <v>3.7844415860668841E-2</v>
      </c>
      <c r="AU104" s="10">
        <f t="shared" si="148"/>
        <v>3.9449936533545699E-2</v>
      </c>
      <c r="AV104" s="10">
        <f t="shared" si="148"/>
        <v>4.1055457206422556E-2</v>
      </c>
      <c r="AW104" s="10">
        <f t="shared" si="148"/>
        <v>4.2660977879299421E-2</v>
      </c>
      <c r="AX104" s="10">
        <f t="shared" si="148"/>
        <v>4.4266498552176271E-2</v>
      </c>
      <c r="AY104" s="10">
        <f t="shared" si="148"/>
        <v>4.5872019225053143E-2</v>
      </c>
      <c r="AZ104" s="10">
        <f t="shared" si="148"/>
        <v>4.5872019225053143E-2</v>
      </c>
      <c r="BA104" s="10">
        <f t="shared" si="148"/>
        <v>4.5872019225053143E-2</v>
      </c>
      <c r="BB104" s="10">
        <f t="shared" si="148"/>
        <v>4.5872019225053143E-2</v>
      </c>
      <c r="BC104" s="10">
        <f t="shared" si="148"/>
        <v>4.5872019225053143E-2</v>
      </c>
      <c r="BD104" s="10">
        <f t="shared" si="148"/>
        <v>4.5872019225053143E-2</v>
      </c>
      <c r="BE104" s="10">
        <f t="shared" si="148"/>
        <v>4.5872019225053143E-2</v>
      </c>
      <c r="BF104" s="10">
        <f t="shared" si="148"/>
        <v>4.5872019225053143E-2</v>
      </c>
      <c r="BG104" s="10">
        <f t="shared" si="148"/>
        <v>4.5872019225053143E-2</v>
      </c>
      <c r="BH104" s="10">
        <f t="shared" si="148"/>
        <v>4.5872019225053143E-2</v>
      </c>
      <c r="BI104" s="10">
        <f t="shared" si="148"/>
        <v>4.5872019225053143E-2</v>
      </c>
    </row>
    <row r="105" spans="1:61">
      <c r="A105" s="8" t="s">
        <v>60</v>
      </c>
      <c r="B105" s="129" t="s">
        <v>58</v>
      </c>
      <c r="C105" s="13"/>
      <c r="D105" s="13"/>
      <c r="E105" s="13"/>
      <c r="F105" s="13"/>
      <c r="G105" s="13"/>
      <c r="H105" s="13"/>
      <c r="I105" s="13"/>
      <c r="J105" s="13"/>
      <c r="K105" s="13"/>
      <c r="L105" s="13"/>
      <c r="M105" s="13"/>
      <c r="N105" s="13"/>
      <c r="O105" s="13"/>
      <c r="P105" s="13"/>
      <c r="Q105" s="93"/>
      <c r="R105" s="93"/>
      <c r="S105" s="93"/>
      <c r="T105" s="10">
        <f t="shared" ref="T105:BI105" si="149">T$9*(T$74*10^-6)</f>
        <v>6.2396571681916802E-3</v>
      </c>
      <c r="U105" s="10">
        <f t="shared" si="149"/>
        <v>6.3965252339395606E-3</v>
      </c>
      <c r="V105" s="10">
        <f t="shared" si="149"/>
        <v>8.0808862440770474E-3</v>
      </c>
      <c r="W105" s="10">
        <f t="shared" si="149"/>
        <v>9.4143321491210862E-3</v>
      </c>
      <c r="X105" s="10">
        <f t="shared" si="149"/>
        <v>1.0723085736002589E-2</v>
      </c>
      <c r="Y105" s="10">
        <f t="shared" si="149"/>
        <v>1.2007147004721556E-2</v>
      </c>
      <c r="Z105" s="10">
        <f t="shared" si="149"/>
        <v>1.3110483536495805E-2</v>
      </c>
      <c r="AA105" s="10">
        <f t="shared" si="149"/>
        <v>1.4156975615328162E-2</v>
      </c>
      <c r="AB105" s="10">
        <f t="shared" si="149"/>
        <v>1.5146623241218625E-2</v>
      </c>
      <c r="AC105" s="10">
        <f t="shared" si="149"/>
        <v>1.6079426414167198E-2</v>
      </c>
      <c r="AD105" s="10">
        <f t="shared" si="149"/>
        <v>1.695538513417387E-2</v>
      </c>
      <c r="AE105" s="10">
        <f t="shared" si="149"/>
        <v>1.7358953448193128E-2</v>
      </c>
      <c r="AF105" s="10">
        <f t="shared" si="149"/>
        <v>1.837628213702042E-2</v>
      </c>
      <c r="AG105" s="10">
        <f t="shared" si="149"/>
        <v>1.9206902374578862E-2</v>
      </c>
      <c r="AH105" s="10">
        <f t="shared" si="149"/>
        <v>1.9850814160868462E-2</v>
      </c>
      <c r="AI105" s="10">
        <f t="shared" si="149"/>
        <v>2.030801749588922E-2</v>
      </c>
      <c r="AJ105" s="10">
        <f t="shared" si="149"/>
        <v>2.1162378782728787E-2</v>
      </c>
      <c r="AK105" s="10">
        <f t="shared" si="149"/>
        <v>2.1861443321855932E-2</v>
      </c>
      <c r="AL105" s="10">
        <f t="shared" si="149"/>
        <v>2.2461310609115635E-2</v>
      </c>
      <c r="AM105" s="10">
        <f t="shared" si="149"/>
        <v>2.2961980644507905E-2</v>
      </c>
      <c r="AN105" s="10">
        <f t="shared" si="149"/>
        <v>2.3363453428032737E-2</v>
      </c>
      <c r="AO105" s="10">
        <f t="shared" si="149"/>
        <v>2.4630146686179091E-2</v>
      </c>
      <c r="AP105" s="10">
        <f t="shared" si="149"/>
        <v>2.5896839944325446E-2</v>
      </c>
      <c r="AQ105" s="10">
        <f t="shared" si="149"/>
        <v>2.7163533202471803E-2</v>
      </c>
      <c r="AR105" s="10">
        <f t="shared" si="149"/>
        <v>2.8430226460618158E-2</v>
      </c>
      <c r="AS105" s="10">
        <f t="shared" si="149"/>
        <v>2.9696919718764508E-2</v>
      </c>
      <c r="AT105" s="10">
        <f t="shared" si="149"/>
        <v>3.0963612976910863E-2</v>
      </c>
      <c r="AU105" s="10">
        <f t="shared" si="149"/>
        <v>3.2277220800173749E-2</v>
      </c>
      <c r="AV105" s="10">
        <f t="shared" si="149"/>
        <v>3.3590828623436632E-2</v>
      </c>
      <c r="AW105" s="10">
        <f t="shared" si="149"/>
        <v>3.4904436446699515E-2</v>
      </c>
      <c r="AX105" s="10">
        <f t="shared" si="149"/>
        <v>3.6218044269962398E-2</v>
      </c>
      <c r="AY105" s="10">
        <f t="shared" si="149"/>
        <v>3.7531652093225287E-2</v>
      </c>
      <c r="AZ105" s="10">
        <f t="shared" si="149"/>
        <v>3.7531652093225287E-2</v>
      </c>
      <c r="BA105" s="10">
        <f t="shared" si="149"/>
        <v>3.7531652093225287E-2</v>
      </c>
      <c r="BB105" s="10">
        <f t="shared" si="149"/>
        <v>3.7531652093225287E-2</v>
      </c>
      <c r="BC105" s="10">
        <f t="shared" si="149"/>
        <v>3.7531652093225287E-2</v>
      </c>
      <c r="BD105" s="10">
        <f t="shared" si="149"/>
        <v>3.7531652093225287E-2</v>
      </c>
      <c r="BE105" s="10">
        <f t="shared" si="149"/>
        <v>3.7531652093225287E-2</v>
      </c>
      <c r="BF105" s="10">
        <f t="shared" si="149"/>
        <v>3.7531652093225287E-2</v>
      </c>
      <c r="BG105" s="10">
        <f t="shared" si="149"/>
        <v>3.7531652093225287E-2</v>
      </c>
      <c r="BH105" s="10">
        <f t="shared" si="149"/>
        <v>3.7531652093225287E-2</v>
      </c>
      <c r="BI105" s="10">
        <f t="shared" si="149"/>
        <v>3.7531652093225287E-2</v>
      </c>
    </row>
    <row r="106" spans="1:61">
      <c r="A106" s="8" t="s">
        <v>61</v>
      </c>
      <c r="B106" s="129" t="s">
        <v>58</v>
      </c>
      <c r="C106" s="13"/>
      <c r="D106" s="13"/>
      <c r="E106" s="13"/>
      <c r="F106" s="13"/>
      <c r="G106" s="13"/>
      <c r="H106" s="13"/>
      <c r="I106" s="13"/>
      <c r="J106" s="13"/>
      <c r="K106" s="13"/>
      <c r="L106" s="13"/>
      <c r="M106" s="13"/>
      <c r="N106" s="13"/>
      <c r="O106" s="13"/>
      <c r="P106" s="13"/>
      <c r="Q106" s="93"/>
      <c r="R106" s="93"/>
      <c r="S106" s="93"/>
      <c r="T106" s="10">
        <f t="shared" ref="T106:BI106" si="150">T$9*(T$75*10^-6)</f>
        <v>8.3195428909222414E-3</v>
      </c>
      <c r="U106" s="10">
        <f t="shared" si="150"/>
        <v>8.5287003119194141E-3</v>
      </c>
      <c r="V106" s="10">
        <f t="shared" si="150"/>
        <v>1.0774514992102732E-2</v>
      </c>
      <c r="W106" s="10">
        <f t="shared" si="150"/>
        <v>1.2552442865494784E-2</v>
      </c>
      <c r="X106" s="10">
        <f t="shared" si="150"/>
        <v>1.4297447648003451E-2</v>
      </c>
      <c r="Y106" s="10">
        <f t="shared" si="150"/>
        <v>1.600952933962874E-2</v>
      </c>
      <c r="Z106" s="10">
        <f t="shared" si="150"/>
        <v>1.7480644715327738E-2</v>
      </c>
      <c r="AA106" s="10">
        <f t="shared" si="150"/>
        <v>1.8875967487104219E-2</v>
      </c>
      <c r="AB106" s="10">
        <f t="shared" si="150"/>
        <v>2.0195497654958167E-2</v>
      </c>
      <c r="AC106" s="10">
        <f t="shared" si="150"/>
        <v>2.1439235218889595E-2</v>
      </c>
      <c r="AD106" s="10">
        <f t="shared" si="150"/>
        <v>2.2607180178898494E-2</v>
      </c>
      <c r="AE106" s="10">
        <f t="shared" si="150"/>
        <v>2.3145271264257507E-2</v>
      </c>
      <c r="AF106" s="10">
        <f t="shared" si="150"/>
        <v>2.4501709516027221E-2</v>
      </c>
      <c r="AG106" s="10">
        <f t="shared" si="150"/>
        <v>2.5609203166105151E-2</v>
      </c>
      <c r="AH106" s="10">
        <f t="shared" si="150"/>
        <v>2.6467752214491283E-2</v>
      </c>
      <c r="AI106" s="10">
        <f t="shared" si="150"/>
        <v>2.707735666118562E-2</v>
      </c>
      <c r="AJ106" s="10">
        <f t="shared" si="150"/>
        <v>2.821650504363838E-2</v>
      </c>
      <c r="AK106" s="10">
        <f t="shared" si="150"/>
        <v>2.9148591095807905E-2</v>
      </c>
      <c r="AL106" s="10">
        <f t="shared" si="150"/>
        <v>2.9948414145487511E-2</v>
      </c>
      <c r="AM106" s="10">
        <f t="shared" si="150"/>
        <v>3.0615974192677201E-2</v>
      </c>
      <c r="AN106" s="10">
        <f t="shared" si="150"/>
        <v>3.1151271237376987E-2</v>
      </c>
      <c r="AO106" s="10">
        <f t="shared" si="150"/>
        <v>3.2840195581572126E-2</v>
      </c>
      <c r="AP106" s="10">
        <f t="shared" si="150"/>
        <v>3.4529119925767265E-2</v>
      </c>
      <c r="AQ106" s="10">
        <f t="shared" si="150"/>
        <v>3.6218044269962411E-2</v>
      </c>
      <c r="AR106" s="10">
        <f t="shared" si="150"/>
        <v>3.7906968614157543E-2</v>
      </c>
      <c r="AS106" s="10">
        <f t="shared" si="150"/>
        <v>3.9595892958352683E-2</v>
      </c>
      <c r="AT106" s="10">
        <f t="shared" si="150"/>
        <v>4.1284817302547822E-2</v>
      </c>
      <c r="AU106" s="10">
        <f t="shared" si="150"/>
        <v>4.303629440023167E-2</v>
      </c>
      <c r="AV106" s="10">
        <f t="shared" si="150"/>
        <v>4.4787771497915511E-2</v>
      </c>
      <c r="AW106" s="10">
        <f t="shared" si="150"/>
        <v>4.653924859559936E-2</v>
      </c>
      <c r="AX106" s="10">
        <f t="shared" si="150"/>
        <v>4.8290725693283201E-2</v>
      </c>
      <c r="AY106" s="10">
        <f t="shared" si="150"/>
        <v>5.004220279096705E-2</v>
      </c>
      <c r="AZ106" s="10">
        <f t="shared" si="150"/>
        <v>5.004220279096705E-2</v>
      </c>
      <c r="BA106" s="10">
        <f t="shared" si="150"/>
        <v>5.004220279096705E-2</v>
      </c>
      <c r="BB106" s="10">
        <f t="shared" si="150"/>
        <v>5.004220279096705E-2</v>
      </c>
      <c r="BC106" s="10">
        <f t="shared" si="150"/>
        <v>5.004220279096705E-2</v>
      </c>
      <c r="BD106" s="10">
        <f t="shared" si="150"/>
        <v>5.004220279096705E-2</v>
      </c>
      <c r="BE106" s="10">
        <f t="shared" si="150"/>
        <v>5.004220279096705E-2</v>
      </c>
      <c r="BF106" s="10">
        <f t="shared" si="150"/>
        <v>5.004220279096705E-2</v>
      </c>
      <c r="BG106" s="10">
        <f t="shared" si="150"/>
        <v>5.004220279096705E-2</v>
      </c>
      <c r="BH106" s="10">
        <f t="shared" si="150"/>
        <v>5.004220279096705E-2</v>
      </c>
      <c r="BI106" s="10">
        <f t="shared" si="150"/>
        <v>5.004220279096705E-2</v>
      </c>
    </row>
    <row r="107" spans="1:61">
      <c r="A107" s="8" t="s">
        <v>54</v>
      </c>
      <c r="B107" s="129" t="s">
        <v>58</v>
      </c>
      <c r="C107" s="13"/>
      <c r="D107" s="13"/>
      <c r="E107" s="13"/>
      <c r="F107" s="13"/>
      <c r="G107" s="13"/>
      <c r="H107" s="13"/>
      <c r="I107" s="13"/>
      <c r="J107" s="13"/>
      <c r="K107" s="13"/>
      <c r="L107" s="13"/>
      <c r="M107" s="13"/>
      <c r="N107" s="13"/>
      <c r="O107" s="13"/>
      <c r="P107" s="13"/>
      <c r="Q107" s="93"/>
      <c r="R107" s="93"/>
      <c r="S107" s="93"/>
      <c r="T107" s="10">
        <f t="shared" ref="T107:BI107" si="151">T$9*(T$76*10^-6)</f>
        <v>7.6262476500120547E-3</v>
      </c>
      <c r="U107" s="10">
        <f t="shared" si="151"/>
        <v>7.8179752859261313E-3</v>
      </c>
      <c r="V107" s="10">
        <f t="shared" si="151"/>
        <v>9.876638742760839E-3</v>
      </c>
      <c r="W107" s="10">
        <f t="shared" si="151"/>
        <v>1.1506405960036888E-2</v>
      </c>
      <c r="X107" s="10">
        <f t="shared" si="151"/>
        <v>1.3105993677336497E-2</v>
      </c>
      <c r="Y107" s="10">
        <f t="shared" si="151"/>
        <v>1.4675401894659681E-2</v>
      </c>
      <c r="Z107" s="10">
        <f t="shared" si="151"/>
        <v>1.602392432238376E-2</v>
      </c>
      <c r="AA107" s="10">
        <f t="shared" si="151"/>
        <v>1.73029701965122E-2</v>
      </c>
      <c r="AB107" s="10">
        <f t="shared" si="151"/>
        <v>1.8512539517044988E-2</v>
      </c>
      <c r="AC107" s="10">
        <f t="shared" si="151"/>
        <v>1.9652632283982133E-2</v>
      </c>
      <c r="AD107" s="10">
        <f t="shared" si="151"/>
        <v>2.0723248497323619E-2</v>
      </c>
      <c r="AE107" s="10">
        <f t="shared" si="151"/>
        <v>2.1216498658902714E-2</v>
      </c>
      <c r="AF107" s="10">
        <f t="shared" si="151"/>
        <v>2.2459900389691621E-2</v>
      </c>
      <c r="AG107" s="10">
        <f t="shared" si="151"/>
        <v>2.3475102902263057E-2</v>
      </c>
      <c r="AH107" s="10">
        <f t="shared" si="151"/>
        <v>2.4262106196617009E-2</v>
      </c>
      <c r="AI107" s="10">
        <f t="shared" si="151"/>
        <v>2.4820910272753492E-2</v>
      </c>
      <c r="AJ107" s="10">
        <f t="shared" si="151"/>
        <v>2.5865129623335186E-2</v>
      </c>
      <c r="AK107" s="10">
        <f t="shared" si="151"/>
        <v>2.6719541837823914E-2</v>
      </c>
      <c r="AL107" s="10">
        <f t="shared" si="151"/>
        <v>2.7452712966696886E-2</v>
      </c>
      <c r="AM107" s="10">
        <f t="shared" si="151"/>
        <v>2.8064643009954104E-2</v>
      </c>
      <c r="AN107" s="10">
        <f t="shared" si="151"/>
        <v>2.8555331967595576E-2</v>
      </c>
      <c r="AO107" s="10">
        <f t="shared" si="151"/>
        <v>3.0103512616441119E-2</v>
      </c>
      <c r="AP107" s="10">
        <f t="shared" si="151"/>
        <v>3.1651693265286662E-2</v>
      </c>
      <c r="AQ107" s="10">
        <f t="shared" si="151"/>
        <v>3.3199873914132212E-2</v>
      </c>
      <c r="AR107" s="10">
        <f t="shared" si="151"/>
        <v>3.4748054562977755E-2</v>
      </c>
      <c r="AS107" s="10">
        <f t="shared" si="151"/>
        <v>3.6296235211823298E-2</v>
      </c>
      <c r="AT107" s="10">
        <f t="shared" si="151"/>
        <v>3.7844415860668841E-2</v>
      </c>
      <c r="AU107" s="10">
        <f t="shared" si="151"/>
        <v>3.9449936533545699E-2</v>
      </c>
      <c r="AV107" s="10">
        <f t="shared" si="151"/>
        <v>4.1055457206422556E-2</v>
      </c>
      <c r="AW107" s="10">
        <f t="shared" si="151"/>
        <v>4.2660977879299421E-2</v>
      </c>
      <c r="AX107" s="10">
        <f t="shared" si="151"/>
        <v>4.4266498552176271E-2</v>
      </c>
      <c r="AY107" s="10">
        <f t="shared" si="151"/>
        <v>4.5872019225053143E-2</v>
      </c>
      <c r="AZ107" s="10">
        <f t="shared" si="151"/>
        <v>4.5872019225053143E-2</v>
      </c>
      <c r="BA107" s="10">
        <f t="shared" si="151"/>
        <v>4.5872019225053143E-2</v>
      </c>
      <c r="BB107" s="10">
        <f t="shared" si="151"/>
        <v>4.5872019225053143E-2</v>
      </c>
      <c r="BC107" s="10">
        <f t="shared" si="151"/>
        <v>4.5872019225053143E-2</v>
      </c>
      <c r="BD107" s="10">
        <f t="shared" si="151"/>
        <v>4.5872019225053143E-2</v>
      </c>
      <c r="BE107" s="10">
        <f t="shared" si="151"/>
        <v>4.5872019225053143E-2</v>
      </c>
      <c r="BF107" s="10">
        <f t="shared" si="151"/>
        <v>4.5872019225053143E-2</v>
      </c>
      <c r="BG107" s="10">
        <f t="shared" si="151"/>
        <v>4.5872019225053143E-2</v>
      </c>
      <c r="BH107" s="10">
        <f t="shared" si="151"/>
        <v>4.5872019225053143E-2</v>
      </c>
      <c r="BI107" s="10">
        <f t="shared" si="151"/>
        <v>4.5872019225053143E-2</v>
      </c>
    </row>
    <row r="108" spans="1:61" s="534" customFormat="1">
      <c r="A108" s="718" t="s">
        <v>217</v>
      </c>
      <c r="B108" s="685" t="s">
        <v>328</v>
      </c>
      <c r="C108" s="671"/>
      <c r="D108" s="671"/>
      <c r="E108" s="671"/>
      <c r="F108" s="671"/>
      <c r="G108" s="671"/>
      <c r="H108" s="671"/>
      <c r="I108" s="671"/>
      <c r="J108" s="671"/>
      <c r="K108" s="671"/>
      <c r="L108" s="671"/>
      <c r="M108" s="671"/>
      <c r="N108" s="671"/>
      <c r="O108" s="671"/>
      <c r="P108" s="674"/>
      <c r="Q108" s="6"/>
      <c r="R108" s="6"/>
      <c r="S108" s="6"/>
      <c r="T108" s="6">
        <v>2020</v>
      </c>
      <c r="U108" s="6">
        <f>T108+1</f>
        <v>2021</v>
      </c>
      <c r="V108" s="6">
        <f t="shared" ref="V108:BI108" si="152">U108+1</f>
        <v>2022</v>
      </c>
      <c r="W108" s="6">
        <f t="shared" si="152"/>
        <v>2023</v>
      </c>
      <c r="X108" s="6">
        <f t="shared" si="152"/>
        <v>2024</v>
      </c>
      <c r="Y108" s="6">
        <f t="shared" si="152"/>
        <v>2025</v>
      </c>
      <c r="Z108" s="6">
        <f t="shared" si="152"/>
        <v>2026</v>
      </c>
      <c r="AA108" s="6">
        <f t="shared" si="152"/>
        <v>2027</v>
      </c>
      <c r="AB108" s="6">
        <f t="shared" si="152"/>
        <v>2028</v>
      </c>
      <c r="AC108" s="6">
        <f t="shared" si="152"/>
        <v>2029</v>
      </c>
      <c r="AD108" s="6">
        <f t="shared" si="152"/>
        <v>2030</v>
      </c>
      <c r="AE108" s="6">
        <f t="shared" si="152"/>
        <v>2031</v>
      </c>
      <c r="AF108" s="6">
        <f t="shared" si="152"/>
        <v>2032</v>
      </c>
      <c r="AG108" s="6">
        <f t="shared" si="152"/>
        <v>2033</v>
      </c>
      <c r="AH108" s="6">
        <f t="shared" si="152"/>
        <v>2034</v>
      </c>
      <c r="AI108" s="6">
        <f t="shared" si="152"/>
        <v>2035</v>
      </c>
      <c r="AJ108" s="6">
        <f t="shared" si="152"/>
        <v>2036</v>
      </c>
      <c r="AK108" s="6">
        <f t="shared" si="152"/>
        <v>2037</v>
      </c>
      <c r="AL108" s="6">
        <f t="shared" si="152"/>
        <v>2038</v>
      </c>
      <c r="AM108" s="6">
        <f t="shared" si="152"/>
        <v>2039</v>
      </c>
      <c r="AN108" s="6">
        <f t="shared" si="152"/>
        <v>2040</v>
      </c>
      <c r="AO108" s="6">
        <f t="shared" si="152"/>
        <v>2041</v>
      </c>
      <c r="AP108" s="6">
        <f t="shared" si="152"/>
        <v>2042</v>
      </c>
      <c r="AQ108" s="6">
        <f t="shared" si="152"/>
        <v>2043</v>
      </c>
      <c r="AR108" s="6">
        <f t="shared" si="152"/>
        <v>2044</v>
      </c>
      <c r="AS108" s="6">
        <f t="shared" si="152"/>
        <v>2045</v>
      </c>
      <c r="AT108" s="6">
        <f t="shared" si="152"/>
        <v>2046</v>
      </c>
      <c r="AU108" s="6">
        <f t="shared" si="152"/>
        <v>2047</v>
      </c>
      <c r="AV108" s="6">
        <f t="shared" si="152"/>
        <v>2048</v>
      </c>
      <c r="AW108" s="6">
        <f t="shared" si="152"/>
        <v>2049</v>
      </c>
      <c r="AX108" s="6">
        <f t="shared" si="152"/>
        <v>2050</v>
      </c>
      <c r="AY108" s="6">
        <f t="shared" si="152"/>
        <v>2051</v>
      </c>
      <c r="AZ108" s="6">
        <f t="shared" si="152"/>
        <v>2052</v>
      </c>
      <c r="BA108" s="6">
        <f t="shared" si="152"/>
        <v>2053</v>
      </c>
      <c r="BB108" s="6">
        <f t="shared" si="152"/>
        <v>2054</v>
      </c>
      <c r="BC108" s="6">
        <f t="shared" si="152"/>
        <v>2055</v>
      </c>
      <c r="BD108" s="6">
        <f t="shared" si="152"/>
        <v>2056</v>
      </c>
      <c r="BE108" s="6">
        <f t="shared" si="152"/>
        <v>2057</v>
      </c>
      <c r="BF108" s="6">
        <f t="shared" si="152"/>
        <v>2058</v>
      </c>
      <c r="BG108" s="6">
        <f t="shared" si="152"/>
        <v>2059</v>
      </c>
      <c r="BH108" s="6">
        <f t="shared" si="152"/>
        <v>2060</v>
      </c>
      <c r="BI108" s="6">
        <f t="shared" si="152"/>
        <v>2061</v>
      </c>
    </row>
    <row r="109" spans="1:61" ht="15" customHeight="1">
      <c r="A109" s="719"/>
      <c r="B109" s="686" t="s">
        <v>530</v>
      </c>
      <c r="C109" s="681"/>
      <c r="D109" s="681"/>
      <c r="E109" s="681"/>
      <c r="F109" s="681"/>
      <c r="G109" s="681"/>
      <c r="H109" s="681"/>
      <c r="I109" s="681"/>
      <c r="J109" s="681"/>
      <c r="K109" s="681"/>
      <c r="L109" s="681"/>
      <c r="M109" s="681"/>
      <c r="N109" s="681"/>
      <c r="O109" s="681"/>
      <c r="P109" s="687"/>
      <c r="Q109" s="683">
        <f>DATE(2016,12,31)</f>
        <v>42735</v>
      </c>
      <c r="R109" s="683">
        <f>DATE(YEAR(Q109+1),12,31)</f>
        <v>43100</v>
      </c>
      <c r="S109" s="683">
        <f t="shared" ref="S109" si="153">DATE(YEAR(R109+1),12,31)</f>
        <v>43465</v>
      </c>
      <c r="T109" s="683">
        <f>DATE(YEAR(S109+1),12,31)</f>
        <v>43830</v>
      </c>
      <c r="U109" s="683">
        <f t="shared" ref="U109:BI109" si="154">DATE(YEAR(T109+1),12,31)</f>
        <v>44196</v>
      </c>
      <c r="V109" s="683">
        <f t="shared" si="154"/>
        <v>44561</v>
      </c>
      <c r="W109" s="683">
        <f t="shared" si="154"/>
        <v>44926</v>
      </c>
      <c r="X109" s="683">
        <f t="shared" si="154"/>
        <v>45291</v>
      </c>
      <c r="Y109" s="683">
        <f t="shared" si="154"/>
        <v>45657</v>
      </c>
      <c r="Z109" s="683">
        <f t="shared" si="154"/>
        <v>46022</v>
      </c>
      <c r="AA109" s="683">
        <f t="shared" si="154"/>
        <v>46387</v>
      </c>
      <c r="AB109" s="683">
        <f t="shared" si="154"/>
        <v>46752</v>
      </c>
      <c r="AC109" s="683">
        <f t="shared" si="154"/>
        <v>47118</v>
      </c>
      <c r="AD109" s="683">
        <f t="shared" si="154"/>
        <v>47483</v>
      </c>
      <c r="AE109" s="683">
        <f t="shared" si="154"/>
        <v>47848</v>
      </c>
      <c r="AF109" s="683">
        <f t="shared" si="154"/>
        <v>48213</v>
      </c>
      <c r="AG109" s="683">
        <f t="shared" si="154"/>
        <v>48579</v>
      </c>
      <c r="AH109" s="683">
        <f t="shared" si="154"/>
        <v>48944</v>
      </c>
      <c r="AI109" s="683">
        <f t="shared" si="154"/>
        <v>49309</v>
      </c>
      <c r="AJ109" s="683">
        <f t="shared" si="154"/>
        <v>49674</v>
      </c>
      <c r="AK109" s="683">
        <f t="shared" si="154"/>
        <v>50040</v>
      </c>
      <c r="AL109" s="683">
        <f t="shared" si="154"/>
        <v>50405</v>
      </c>
      <c r="AM109" s="683">
        <f t="shared" si="154"/>
        <v>50770</v>
      </c>
      <c r="AN109" s="683">
        <f t="shared" si="154"/>
        <v>51135</v>
      </c>
      <c r="AO109" s="683">
        <f t="shared" si="154"/>
        <v>51501</v>
      </c>
      <c r="AP109" s="683">
        <f t="shared" si="154"/>
        <v>51866</v>
      </c>
      <c r="AQ109" s="683">
        <f t="shared" si="154"/>
        <v>52231</v>
      </c>
      <c r="AR109" s="683">
        <f t="shared" si="154"/>
        <v>52596</v>
      </c>
      <c r="AS109" s="683">
        <f t="shared" si="154"/>
        <v>52962</v>
      </c>
      <c r="AT109" s="683">
        <f t="shared" si="154"/>
        <v>53327</v>
      </c>
      <c r="AU109" s="683">
        <f t="shared" si="154"/>
        <v>53692</v>
      </c>
      <c r="AV109" s="683">
        <f t="shared" si="154"/>
        <v>54057</v>
      </c>
      <c r="AW109" s="683">
        <f t="shared" si="154"/>
        <v>54423</v>
      </c>
      <c r="AX109" s="683">
        <f t="shared" si="154"/>
        <v>54788</v>
      </c>
      <c r="AY109" s="683">
        <f t="shared" si="154"/>
        <v>55153</v>
      </c>
      <c r="AZ109" s="683">
        <f t="shared" si="154"/>
        <v>55518</v>
      </c>
      <c r="BA109" s="683">
        <f t="shared" si="154"/>
        <v>55884</v>
      </c>
      <c r="BB109" s="683">
        <f t="shared" si="154"/>
        <v>56249</v>
      </c>
      <c r="BC109" s="683">
        <f t="shared" si="154"/>
        <v>56614</v>
      </c>
      <c r="BD109" s="683">
        <f t="shared" si="154"/>
        <v>56979</v>
      </c>
      <c r="BE109" s="683">
        <f t="shared" si="154"/>
        <v>57345</v>
      </c>
      <c r="BF109" s="683">
        <f t="shared" si="154"/>
        <v>57710</v>
      </c>
      <c r="BG109" s="683">
        <f t="shared" si="154"/>
        <v>58075</v>
      </c>
      <c r="BH109" s="683">
        <f t="shared" si="154"/>
        <v>58440</v>
      </c>
      <c r="BI109" s="683">
        <f t="shared" si="154"/>
        <v>58806</v>
      </c>
    </row>
    <row r="110" spans="1:61">
      <c r="A110" s="8" t="str">
        <f>A104</f>
        <v>Średnio, wszystkie rodzaje</v>
      </c>
      <c r="B110" s="154" t="s">
        <v>58</v>
      </c>
      <c r="C110" s="155"/>
      <c r="D110" s="155"/>
      <c r="E110" s="155"/>
      <c r="F110" s="155"/>
      <c r="G110" s="155"/>
      <c r="H110" s="155"/>
      <c r="I110" s="155"/>
      <c r="J110" s="155"/>
      <c r="K110" s="155"/>
      <c r="L110" s="155"/>
      <c r="M110" s="155"/>
      <c r="N110" s="155"/>
      <c r="O110" s="155"/>
      <c r="P110" s="155"/>
      <c r="Q110" s="93"/>
      <c r="R110" s="93"/>
      <c r="S110" s="93"/>
      <c r="T110" s="10">
        <f t="shared" ref="T110:BI110" si="155">T$9*(T$78*10^-6)</f>
        <v>2.6062051955917823E-2</v>
      </c>
      <c r="U110" s="10">
        <f t="shared" si="155"/>
        <v>2.6948161722419029E-2</v>
      </c>
      <c r="V110" s="10">
        <f t="shared" si="155"/>
        <v>3.4341053038943151E-2</v>
      </c>
      <c r="W110" s="10">
        <f t="shared" si="155"/>
        <v>4.0359588107623919E-2</v>
      </c>
      <c r="X110" s="10">
        <f t="shared" si="155"/>
        <v>4.6378123176304673E-2</v>
      </c>
      <c r="Y110" s="10">
        <f t="shared" si="155"/>
        <v>5.2396658244985433E-2</v>
      </c>
      <c r="Z110" s="10">
        <f t="shared" si="155"/>
        <v>5.8415193313666194E-2</v>
      </c>
      <c r="AA110" s="10">
        <f t="shared" si="155"/>
        <v>6.4433728382346955E-2</v>
      </c>
      <c r="AB110" s="10">
        <f t="shared" si="155"/>
        <v>7.0452263451027702E-2</v>
      </c>
      <c r="AC110" s="10">
        <f t="shared" si="155"/>
        <v>7.6470798519708463E-2</v>
      </c>
      <c r="AD110" s="10">
        <f t="shared" si="155"/>
        <v>8.2489333588389224E-2</v>
      </c>
      <c r="AE110" s="10">
        <f t="shared" si="155"/>
        <v>8.8507868657069985E-2</v>
      </c>
      <c r="AF110" s="10">
        <f t="shared" si="155"/>
        <v>9.842074994666182E-2</v>
      </c>
      <c r="AG110" s="10">
        <f t="shared" si="155"/>
        <v>0.10833363123625367</v>
      </c>
      <c r="AH110" s="10">
        <f t="shared" si="155"/>
        <v>0.1182465125258455</v>
      </c>
      <c r="AI110" s="10">
        <f t="shared" si="155"/>
        <v>0.12815939381543734</v>
      </c>
      <c r="AJ110" s="10">
        <f t="shared" si="155"/>
        <v>0.13807227510502917</v>
      </c>
      <c r="AK110" s="10">
        <f t="shared" si="155"/>
        <v>0.14763112491999272</v>
      </c>
      <c r="AL110" s="10">
        <f t="shared" si="155"/>
        <v>0.1571899747349563</v>
      </c>
      <c r="AM110" s="10">
        <f t="shared" si="155"/>
        <v>0.16674882454991985</v>
      </c>
      <c r="AN110" s="10">
        <f t="shared" si="155"/>
        <v>0.1763076743648834</v>
      </c>
      <c r="AO110" s="10">
        <f t="shared" si="155"/>
        <v>0.18586652417984695</v>
      </c>
      <c r="AP110" s="10">
        <f t="shared" si="155"/>
        <v>0.19542537399481053</v>
      </c>
      <c r="AQ110" s="10">
        <f t="shared" si="155"/>
        <v>0.20498422380977413</v>
      </c>
      <c r="AR110" s="10">
        <f t="shared" si="155"/>
        <v>0.21454307362473768</v>
      </c>
      <c r="AS110" s="10">
        <f t="shared" si="155"/>
        <v>0.22410192343970123</v>
      </c>
      <c r="AT110" s="10">
        <f t="shared" si="155"/>
        <v>0.23366077325466478</v>
      </c>
      <c r="AU110" s="10">
        <f t="shared" si="155"/>
        <v>0.24357365454425661</v>
      </c>
      <c r="AV110" s="10">
        <f t="shared" si="155"/>
        <v>0.25348653583384845</v>
      </c>
      <c r="AW110" s="10">
        <f t="shared" si="155"/>
        <v>0.26339941712344028</v>
      </c>
      <c r="AX110" s="10">
        <f t="shared" si="155"/>
        <v>0.27331229841303212</v>
      </c>
      <c r="AY110" s="10">
        <f t="shared" si="155"/>
        <v>0.28322517970262395</v>
      </c>
      <c r="AZ110" s="10">
        <f t="shared" si="155"/>
        <v>0.28322517970262395</v>
      </c>
      <c r="BA110" s="10">
        <f t="shared" si="155"/>
        <v>0.28322517970262395</v>
      </c>
      <c r="BB110" s="10">
        <f t="shared" si="155"/>
        <v>0.28322517970262395</v>
      </c>
      <c r="BC110" s="10">
        <f t="shared" si="155"/>
        <v>0.28322517970262395</v>
      </c>
      <c r="BD110" s="10">
        <f t="shared" si="155"/>
        <v>0.28322517970262395</v>
      </c>
      <c r="BE110" s="10">
        <f t="shared" si="155"/>
        <v>0.28322517970262395</v>
      </c>
      <c r="BF110" s="10">
        <f t="shared" si="155"/>
        <v>0.28322517970262395</v>
      </c>
      <c r="BG110" s="10">
        <f t="shared" si="155"/>
        <v>0.28322517970262395</v>
      </c>
      <c r="BH110" s="10">
        <f t="shared" si="155"/>
        <v>0.28322517970262395</v>
      </c>
      <c r="BI110" s="10">
        <f t="shared" si="155"/>
        <v>0.28322517970262395</v>
      </c>
    </row>
    <row r="111" spans="1:61">
      <c r="A111" s="8" t="str">
        <f>A105</f>
        <v>Regionalne/ Podmiejskie</v>
      </c>
      <c r="B111" s="154" t="s">
        <v>58</v>
      </c>
      <c r="C111" s="155"/>
      <c r="D111" s="155"/>
      <c r="E111" s="155"/>
      <c r="F111" s="155"/>
      <c r="G111" s="155"/>
      <c r="H111" s="155"/>
      <c r="I111" s="155"/>
      <c r="J111" s="155"/>
      <c r="K111" s="155"/>
      <c r="L111" s="155"/>
      <c r="M111" s="155"/>
      <c r="N111" s="155"/>
      <c r="O111" s="155"/>
      <c r="P111" s="155"/>
      <c r="Q111" s="93"/>
      <c r="R111" s="93"/>
      <c r="S111" s="93"/>
      <c r="T111" s="10">
        <f t="shared" ref="T111:BI111" si="156">T$9*(T$79*10^-6)</f>
        <v>2.195856882079027E-2</v>
      </c>
      <c r="U111" s="10">
        <f t="shared" si="156"/>
        <v>2.2705160160697138E-2</v>
      </c>
      <c r="V111" s="10">
        <f t="shared" si="156"/>
        <v>2.8934037036282386E-2</v>
      </c>
      <c r="W111" s="10">
        <f t="shared" si="156"/>
        <v>3.4004950743672088E-2</v>
      </c>
      <c r="X111" s="10">
        <f t="shared" si="156"/>
        <v>3.907586445106178E-2</v>
      </c>
      <c r="Y111" s="10">
        <f t="shared" si="156"/>
        <v>4.4146778158451479E-2</v>
      </c>
      <c r="Z111" s="10">
        <f t="shared" si="156"/>
        <v>4.9217691865841177E-2</v>
      </c>
      <c r="AA111" s="10">
        <f t="shared" si="156"/>
        <v>5.4288605573230876E-2</v>
      </c>
      <c r="AB111" s="10">
        <f t="shared" si="156"/>
        <v>5.9359519280620568E-2</v>
      </c>
      <c r="AC111" s="10">
        <f t="shared" si="156"/>
        <v>6.4430432988010267E-2</v>
      </c>
      <c r="AD111" s="10">
        <f t="shared" si="156"/>
        <v>6.9501346695399951E-2</v>
      </c>
      <c r="AE111" s="10">
        <f t="shared" si="156"/>
        <v>7.4572260402789664E-2</v>
      </c>
      <c r="AF111" s="10">
        <f t="shared" si="156"/>
        <v>8.2924353567902093E-2</v>
      </c>
      <c r="AG111" s="10">
        <f t="shared" si="156"/>
        <v>9.1276446733014535E-2</v>
      </c>
      <c r="AH111" s="10">
        <f t="shared" si="156"/>
        <v>9.9628539898126992E-2</v>
      </c>
      <c r="AI111" s="10">
        <f t="shared" si="156"/>
        <v>0.10798063306323942</v>
      </c>
      <c r="AJ111" s="10">
        <f t="shared" si="156"/>
        <v>0.11633272622835185</v>
      </c>
      <c r="AK111" s="10">
        <f t="shared" si="156"/>
        <v>0.12438653035185314</v>
      </c>
      <c r="AL111" s="10">
        <f t="shared" si="156"/>
        <v>0.13244033447535442</v>
      </c>
      <c r="AM111" s="10">
        <f t="shared" si="156"/>
        <v>0.14049413859885571</v>
      </c>
      <c r="AN111" s="10">
        <f t="shared" si="156"/>
        <v>0.14854794272235697</v>
      </c>
      <c r="AO111" s="10">
        <f t="shared" si="156"/>
        <v>0.15660174684585826</v>
      </c>
      <c r="AP111" s="10">
        <f t="shared" si="156"/>
        <v>0.16465555096935955</v>
      </c>
      <c r="AQ111" s="10">
        <f t="shared" si="156"/>
        <v>0.17270935509286087</v>
      </c>
      <c r="AR111" s="10">
        <f t="shared" si="156"/>
        <v>0.18076315921636216</v>
      </c>
      <c r="AS111" s="10">
        <f t="shared" si="156"/>
        <v>0.18881696333986342</v>
      </c>
      <c r="AT111" s="10">
        <f t="shared" si="156"/>
        <v>0.19687076746336471</v>
      </c>
      <c r="AU111" s="10">
        <f t="shared" si="156"/>
        <v>0.20522286062847714</v>
      </c>
      <c r="AV111" s="10">
        <f t="shared" si="156"/>
        <v>0.21357495379358957</v>
      </c>
      <c r="AW111" s="10">
        <f t="shared" si="156"/>
        <v>0.22192704695870202</v>
      </c>
      <c r="AX111" s="10">
        <f t="shared" si="156"/>
        <v>0.23027914012381442</v>
      </c>
      <c r="AY111" s="10">
        <f t="shared" si="156"/>
        <v>0.23863123328892691</v>
      </c>
      <c r="AZ111" s="10">
        <f t="shared" si="156"/>
        <v>0.23863123328892691</v>
      </c>
      <c r="BA111" s="10">
        <f t="shared" si="156"/>
        <v>0.23863123328892691</v>
      </c>
      <c r="BB111" s="10">
        <f t="shared" si="156"/>
        <v>0.23863123328892691</v>
      </c>
      <c r="BC111" s="10">
        <f t="shared" si="156"/>
        <v>0.23863123328892691</v>
      </c>
      <c r="BD111" s="10">
        <f t="shared" si="156"/>
        <v>0.23863123328892691</v>
      </c>
      <c r="BE111" s="10">
        <f t="shared" si="156"/>
        <v>0.23863123328892691</v>
      </c>
      <c r="BF111" s="10">
        <f t="shared" si="156"/>
        <v>0.23863123328892691</v>
      </c>
      <c r="BG111" s="10">
        <f t="shared" si="156"/>
        <v>0.23863123328892691</v>
      </c>
      <c r="BH111" s="10">
        <f t="shared" si="156"/>
        <v>0.23863123328892691</v>
      </c>
      <c r="BI111" s="10">
        <f t="shared" si="156"/>
        <v>0.23863123328892691</v>
      </c>
    </row>
    <row r="112" spans="1:61">
      <c r="A112" s="8" t="str">
        <f>A106</f>
        <v>Międzyaglomeracyjne</v>
      </c>
      <c r="B112" s="154" t="s">
        <v>58</v>
      </c>
      <c r="C112" s="155"/>
      <c r="D112" s="155"/>
      <c r="E112" s="155"/>
      <c r="F112" s="155"/>
      <c r="G112" s="155"/>
      <c r="H112" s="155"/>
      <c r="I112" s="155"/>
      <c r="J112" s="155"/>
      <c r="K112" s="155"/>
      <c r="L112" s="155"/>
      <c r="M112" s="155"/>
      <c r="N112" s="155"/>
      <c r="O112" s="155"/>
      <c r="P112" s="155"/>
      <c r="Q112" s="93"/>
      <c r="R112" s="93"/>
      <c r="S112" s="93"/>
      <c r="T112" s="10">
        <f t="shared" ref="T112:BI112" si="157">T$9*(T$80*10^-6)</f>
        <v>3.0941619702022655E-2</v>
      </c>
      <c r="U112" s="10">
        <f t="shared" si="157"/>
        <v>3.1993634771891426E-2</v>
      </c>
      <c r="V112" s="10">
        <f t="shared" si="157"/>
        <v>4.077068855112518E-2</v>
      </c>
      <c r="W112" s="10">
        <f t="shared" si="157"/>
        <v>4.7916066956992485E-2</v>
      </c>
      <c r="X112" s="10">
        <f t="shared" si="157"/>
        <v>5.5061445362859777E-2</v>
      </c>
      <c r="Y112" s="10">
        <f t="shared" si="157"/>
        <v>6.2206823768727083E-2</v>
      </c>
      <c r="Z112" s="10">
        <f t="shared" si="157"/>
        <v>6.9352202174594382E-2</v>
      </c>
      <c r="AA112" s="10">
        <f t="shared" si="157"/>
        <v>7.6497580580461688E-2</v>
      </c>
      <c r="AB112" s="10">
        <f t="shared" si="157"/>
        <v>8.364295898632898E-2</v>
      </c>
      <c r="AC112" s="10">
        <f t="shared" si="157"/>
        <v>9.0788337392196286E-2</v>
      </c>
      <c r="AD112" s="10">
        <f t="shared" si="157"/>
        <v>9.7933715798063578E-2</v>
      </c>
      <c r="AE112" s="10">
        <f t="shared" si="157"/>
        <v>0.10507909420393088</v>
      </c>
      <c r="AF112" s="10">
        <f t="shared" si="157"/>
        <v>0.11684795275477114</v>
      </c>
      <c r="AG112" s="10">
        <f t="shared" si="157"/>
        <v>0.12861681130561139</v>
      </c>
      <c r="AH112" s="10">
        <f t="shared" si="157"/>
        <v>0.14038566985645168</v>
      </c>
      <c r="AI112" s="10">
        <f t="shared" si="157"/>
        <v>0.15215452840729191</v>
      </c>
      <c r="AJ112" s="10">
        <f t="shared" si="157"/>
        <v>0.16392338695813216</v>
      </c>
      <c r="AK112" s="10">
        <f t="shared" si="157"/>
        <v>0.1752719291321567</v>
      </c>
      <c r="AL112" s="10">
        <f t="shared" si="157"/>
        <v>0.18662047130618123</v>
      </c>
      <c r="AM112" s="10">
        <f t="shared" si="157"/>
        <v>0.19796901348020576</v>
      </c>
      <c r="AN112" s="10">
        <f t="shared" si="157"/>
        <v>0.2093175556542303</v>
      </c>
      <c r="AO112" s="10">
        <f t="shared" si="157"/>
        <v>0.22066609782825483</v>
      </c>
      <c r="AP112" s="10">
        <f t="shared" si="157"/>
        <v>0.23201464000227939</v>
      </c>
      <c r="AQ112" s="10">
        <f t="shared" si="157"/>
        <v>0.24336318217630395</v>
      </c>
      <c r="AR112" s="10">
        <f t="shared" si="157"/>
        <v>0.25471172435032846</v>
      </c>
      <c r="AS112" s="10">
        <f t="shared" si="157"/>
        <v>0.266060266524353</v>
      </c>
      <c r="AT112" s="10">
        <f t="shared" si="157"/>
        <v>0.27740880869837753</v>
      </c>
      <c r="AU112" s="10">
        <f t="shared" si="157"/>
        <v>0.28917766724921778</v>
      </c>
      <c r="AV112" s="10">
        <f t="shared" si="157"/>
        <v>0.30094652580005804</v>
      </c>
      <c r="AW112" s="10">
        <f t="shared" si="157"/>
        <v>0.3127153843508983</v>
      </c>
      <c r="AX112" s="10">
        <f t="shared" si="157"/>
        <v>0.32448424290173855</v>
      </c>
      <c r="AY112" s="10">
        <f t="shared" si="157"/>
        <v>0.33625310145257881</v>
      </c>
      <c r="AZ112" s="10">
        <f t="shared" si="157"/>
        <v>0.33625310145257881</v>
      </c>
      <c r="BA112" s="10">
        <f t="shared" si="157"/>
        <v>0.33625310145257881</v>
      </c>
      <c r="BB112" s="10">
        <f t="shared" si="157"/>
        <v>0.33625310145257881</v>
      </c>
      <c r="BC112" s="10">
        <f t="shared" si="157"/>
        <v>0.33625310145257881</v>
      </c>
      <c r="BD112" s="10">
        <f t="shared" si="157"/>
        <v>0.33625310145257881</v>
      </c>
      <c r="BE112" s="10">
        <f t="shared" si="157"/>
        <v>0.33625310145257881</v>
      </c>
      <c r="BF112" s="10">
        <f t="shared" si="157"/>
        <v>0.33625310145257881</v>
      </c>
      <c r="BG112" s="10">
        <f t="shared" si="157"/>
        <v>0.33625310145257881</v>
      </c>
      <c r="BH112" s="10">
        <f t="shared" si="157"/>
        <v>0.33625310145257881</v>
      </c>
      <c r="BI112" s="10">
        <f t="shared" si="157"/>
        <v>0.33625310145257881</v>
      </c>
    </row>
    <row r="113" spans="1:61">
      <c r="A113" s="8" t="str">
        <f>A107</f>
        <v>Pociągi dużej prędkości</v>
      </c>
      <c r="B113" s="154" t="s">
        <v>58</v>
      </c>
      <c r="C113" s="155"/>
      <c r="D113" s="155"/>
      <c r="E113" s="155"/>
      <c r="F113" s="155"/>
      <c r="G113" s="155"/>
      <c r="H113" s="155"/>
      <c r="I113" s="155"/>
      <c r="J113" s="155"/>
      <c r="K113" s="155"/>
      <c r="L113" s="155"/>
      <c r="M113" s="155"/>
      <c r="N113" s="155"/>
      <c r="O113" s="155"/>
      <c r="P113" s="155"/>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row>
    <row r="114" spans="1:61" s="534" customFormat="1">
      <c r="A114" s="718" t="s">
        <v>52</v>
      </c>
      <c r="B114" s="685" t="s">
        <v>328</v>
      </c>
      <c r="C114" s="671"/>
      <c r="D114" s="671"/>
      <c r="E114" s="671"/>
      <c r="F114" s="671"/>
      <c r="G114" s="671"/>
      <c r="H114" s="671"/>
      <c r="I114" s="671"/>
      <c r="J114" s="671"/>
      <c r="K114" s="671"/>
      <c r="L114" s="671"/>
      <c r="M114" s="671"/>
      <c r="N114" s="671"/>
      <c r="O114" s="671"/>
      <c r="P114" s="674"/>
      <c r="Q114" s="6"/>
      <c r="R114" s="6"/>
      <c r="S114" s="6"/>
      <c r="T114" s="6">
        <v>2020</v>
      </c>
      <c r="U114" s="6">
        <f>T114+1</f>
        <v>2021</v>
      </c>
      <c r="V114" s="6">
        <f t="shared" ref="V114:BI114" si="158">U114+1</f>
        <v>2022</v>
      </c>
      <c r="W114" s="6">
        <f t="shared" si="158"/>
        <v>2023</v>
      </c>
      <c r="X114" s="6">
        <f t="shared" si="158"/>
        <v>2024</v>
      </c>
      <c r="Y114" s="6">
        <f t="shared" si="158"/>
        <v>2025</v>
      </c>
      <c r="Z114" s="6">
        <f t="shared" si="158"/>
        <v>2026</v>
      </c>
      <c r="AA114" s="6">
        <f t="shared" si="158"/>
        <v>2027</v>
      </c>
      <c r="AB114" s="6">
        <f t="shared" si="158"/>
        <v>2028</v>
      </c>
      <c r="AC114" s="6">
        <f t="shared" si="158"/>
        <v>2029</v>
      </c>
      <c r="AD114" s="6">
        <f t="shared" si="158"/>
        <v>2030</v>
      </c>
      <c r="AE114" s="6">
        <f t="shared" si="158"/>
        <v>2031</v>
      </c>
      <c r="AF114" s="6">
        <f t="shared" si="158"/>
        <v>2032</v>
      </c>
      <c r="AG114" s="6">
        <f t="shared" si="158"/>
        <v>2033</v>
      </c>
      <c r="AH114" s="6">
        <f t="shared" si="158"/>
        <v>2034</v>
      </c>
      <c r="AI114" s="6">
        <f t="shared" si="158"/>
        <v>2035</v>
      </c>
      <c r="AJ114" s="6">
        <f t="shared" si="158"/>
        <v>2036</v>
      </c>
      <c r="AK114" s="6">
        <f t="shared" si="158"/>
        <v>2037</v>
      </c>
      <c r="AL114" s="6">
        <f t="shared" si="158"/>
        <v>2038</v>
      </c>
      <c r="AM114" s="6">
        <f t="shared" si="158"/>
        <v>2039</v>
      </c>
      <c r="AN114" s="6">
        <f t="shared" si="158"/>
        <v>2040</v>
      </c>
      <c r="AO114" s="6">
        <f t="shared" si="158"/>
        <v>2041</v>
      </c>
      <c r="AP114" s="6">
        <f t="shared" si="158"/>
        <v>2042</v>
      </c>
      <c r="AQ114" s="6">
        <f t="shared" si="158"/>
        <v>2043</v>
      </c>
      <c r="AR114" s="6">
        <f t="shared" si="158"/>
        <v>2044</v>
      </c>
      <c r="AS114" s="6">
        <f t="shared" si="158"/>
        <v>2045</v>
      </c>
      <c r="AT114" s="6">
        <f t="shared" si="158"/>
        <v>2046</v>
      </c>
      <c r="AU114" s="6">
        <f t="shared" si="158"/>
        <v>2047</v>
      </c>
      <c r="AV114" s="6">
        <f t="shared" si="158"/>
        <v>2048</v>
      </c>
      <c r="AW114" s="6">
        <f t="shared" si="158"/>
        <v>2049</v>
      </c>
      <c r="AX114" s="6">
        <f t="shared" si="158"/>
        <v>2050</v>
      </c>
      <c r="AY114" s="6">
        <f t="shared" si="158"/>
        <v>2051</v>
      </c>
      <c r="AZ114" s="6">
        <f t="shared" si="158"/>
        <v>2052</v>
      </c>
      <c r="BA114" s="6">
        <f t="shared" si="158"/>
        <v>2053</v>
      </c>
      <c r="BB114" s="6">
        <f t="shared" si="158"/>
        <v>2054</v>
      </c>
      <c r="BC114" s="6">
        <f t="shared" si="158"/>
        <v>2055</v>
      </c>
      <c r="BD114" s="6">
        <f t="shared" si="158"/>
        <v>2056</v>
      </c>
      <c r="BE114" s="6">
        <f t="shared" si="158"/>
        <v>2057</v>
      </c>
      <c r="BF114" s="6">
        <f t="shared" si="158"/>
        <v>2058</v>
      </c>
      <c r="BG114" s="6">
        <f t="shared" si="158"/>
        <v>2059</v>
      </c>
      <c r="BH114" s="6">
        <f t="shared" si="158"/>
        <v>2060</v>
      </c>
      <c r="BI114" s="6">
        <f t="shared" si="158"/>
        <v>2061</v>
      </c>
    </row>
    <row r="115" spans="1:61">
      <c r="A115" s="719"/>
      <c r="B115" s="686" t="s">
        <v>530</v>
      </c>
      <c r="C115" s="681"/>
      <c r="D115" s="681"/>
      <c r="E115" s="681"/>
      <c r="F115" s="681"/>
      <c r="G115" s="681"/>
      <c r="H115" s="681"/>
      <c r="I115" s="681"/>
      <c r="J115" s="681"/>
      <c r="K115" s="681"/>
      <c r="L115" s="681"/>
      <c r="M115" s="681"/>
      <c r="N115" s="681"/>
      <c r="O115" s="681"/>
      <c r="P115" s="687"/>
      <c r="Q115" s="683">
        <f>DATE(2016,12,31)</f>
        <v>42735</v>
      </c>
      <c r="R115" s="683">
        <f>DATE(YEAR(Q115+1),12,31)</f>
        <v>43100</v>
      </c>
      <c r="S115" s="683">
        <f t="shared" ref="S115" si="159">DATE(YEAR(R115+1),12,31)</f>
        <v>43465</v>
      </c>
      <c r="T115" s="683">
        <f>DATE(YEAR(S115+1),12,31)</f>
        <v>43830</v>
      </c>
      <c r="U115" s="683">
        <f t="shared" ref="U115:BI115" si="160">DATE(YEAR(T115+1),12,31)</f>
        <v>44196</v>
      </c>
      <c r="V115" s="683">
        <f t="shared" si="160"/>
        <v>44561</v>
      </c>
      <c r="W115" s="683">
        <f t="shared" si="160"/>
        <v>44926</v>
      </c>
      <c r="X115" s="683">
        <f t="shared" si="160"/>
        <v>45291</v>
      </c>
      <c r="Y115" s="683">
        <f t="shared" si="160"/>
        <v>45657</v>
      </c>
      <c r="Z115" s="683">
        <f t="shared" si="160"/>
        <v>46022</v>
      </c>
      <c r="AA115" s="683">
        <f t="shared" si="160"/>
        <v>46387</v>
      </c>
      <c r="AB115" s="683">
        <f t="shared" si="160"/>
        <v>46752</v>
      </c>
      <c r="AC115" s="683">
        <f t="shared" si="160"/>
        <v>47118</v>
      </c>
      <c r="AD115" s="683">
        <f t="shared" si="160"/>
        <v>47483</v>
      </c>
      <c r="AE115" s="683">
        <f t="shared" si="160"/>
        <v>47848</v>
      </c>
      <c r="AF115" s="683">
        <f t="shared" si="160"/>
        <v>48213</v>
      </c>
      <c r="AG115" s="683">
        <f t="shared" si="160"/>
        <v>48579</v>
      </c>
      <c r="AH115" s="683">
        <f t="shared" si="160"/>
        <v>48944</v>
      </c>
      <c r="AI115" s="683">
        <f t="shared" si="160"/>
        <v>49309</v>
      </c>
      <c r="AJ115" s="683">
        <f t="shared" si="160"/>
        <v>49674</v>
      </c>
      <c r="AK115" s="683">
        <f t="shared" si="160"/>
        <v>50040</v>
      </c>
      <c r="AL115" s="683">
        <f t="shared" si="160"/>
        <v>50405</v>
      </c>
      <c r="AM115" s="683">
        <f t="shared" si="160"/>
        <v>50770</v>
      </c>
      <c r="AN115" s="683">
        <f t="shared" si="160"/>
        <v>51135</v>
      </c>
      <c r="AO115" s="683">
        <f t="shared" si="160"/>
        <v>51501</v>
      </c>
      <c r="AP115" s="683">
        <f t="shared" si="160"/>
        <v>51866</v>
      </c>
      <c r="AQ115" s="683">
        <f t="shared" si="160"/>
        <v>52231</v>
      </c>
      <c r="AR115" s="683">
        <f t="shared" si="160"/>
        <v>52596</v>
      </c>
      <c r="AS115" s="683">
        <f t="shared" si="160"/>
        <v>52962</v>
      </c>
      <c r="AT115" s="683">
        <f t="shared" si="160"/>
        <v>53327</v>
      </c>
      <c r="AU115" s="683">
        <f t="shared" si="160"/>
        <v>53692</v>
      </c>
      <c r="AV115" s="683">
        <f t="shared" si="160"/>
        <v>54057</v>
      </c>
      <c r="AW115" s="683">
        <f t="shared" si="160"/>
        <v>54423</v>
      </c>
      <c r="AX115" s="683">
        <f t="shared" si="160"/>
        <v>54788</v>
      </c>
      <c r="AY115" s="683">
        <f t="shared" si="160"/>
        <v>55153</v>
      </c>
      <c r="AZ115" s="683">
        <f t="shared" si="160"/>
        <v>55518</v>
      </c>
      <c r="BA115" s="683">
        <f t="shared" si="160"/>
        <v>55884</v>
      </c>
      <c r="BB115" s="683">
        <f t="shared" si="160"/>
        <v>56249</v>
      </c>
      <c r="BC115" s="683">
        <f t="shared" si="160"/>
        <v>56614</v>
      </c>
      <c r="BD115" s="683">
        <f t="shared" si="160"/>
        <v>56979</v>
      </c>
      <c r="BE115" s="683">
        <f t="shared" si="160"/>
        <v>57345</v>
      </c>
      <c r="BF115" s="683">
        <f t="shared" si="160"/>
        <v>57710</v>
      </c>
      <c r="BG115" s="683">
        <f t="shared" si="160"/>
        <v>58075</v>
      </c>
      <c r="BH115" s="683">
        <f t="shared" si="160"/>
        <v>58440</v>
      </c>
      <c r="BI115" s="683">
        <f t="shared" si="160"/>
        <v>58806</v>
      </c>
    </row>
    <row r="116" spans="1:61" ht="30">
      <c r="A116" s="8" t="s">
        <v>55</v>
      </c>
      <c r="B116" s="129" t="s">
        <v>48</v>
      </c>
      <c r="C116" s="13"/>
      <c r="D116" s="13"/>
      <c r="E116" s="13"/>
      <c r="F116" s="13"/>
      <c r="G116" s="13"/>
      <c r="H116" s="13"/>
      <c r="I116" s="13"/>
      <c r="J116" s="13"/>
      <c r="K116" s="13"/>
      <c r="L116" s="13"/>
      <c r="M116" s="13"/>
      <c r="N116" s="13"/>
      <c r="O116" s="13"/>
      <c r="P116" s="13"/>
      <c r="Q116" s="93"/>
      <c r="R116" s="93"/>
      <c r="S116" s="93"/>
      <c r="T116" s="10">
        <f t="shared" ref="T116:BI116" si="161">T$9*(T$85*10^-6)</f>
        <v>4.1459055406429171</v>
      </c>
      <c r="U116" s="10">
        <f t="shared" si="161"/>
        <v>4.2501356554398422</v>
      </c>
      <c r="V116" s="10">
        <f t="shared" si="161"/>
        <v>5.3692999710645282</v>
      </c>
      <c r="W116" s="10">
        <f t="shared" si="161"/>
        <v>6.2553006946382332</v>
      </c>
      <c r="X116" s="10">
        <f t="shared" si="161"/>
        <v>7.1248947445883868</v>
      </c>
      <c r="Y116" s="10">
        <f t="shared" si="161"/>
        <v>7.9780821209149879</v>
      </c>
      <c r="Z116" s="10">
        <f t="shared" si="161"/>
        <v>8.7111879498049891</v>
      </c>
      <c r="AA116" s="10">
        <f t="shared" si="161"/>
        <v>9.4065237977402667</v>
      </c>
      <c r="AB116" s="10">
        <f t="shared" si="161"/>
        <v>10.06408966472082</v>
      </c>
      <c r="AC116" s="10">
        <f t="shared" si="161"/>
        <v>10.683885550746648</v>
      </c>
      <c r="AD116" s="10">
        <f t="shared" si="161"/>
        <v>11.265911455817749</v>
      </c>
      <c r="AE116" s="10">
        <f t="shared" si="161"/>
        <v>11.534060180021656</v>
      </c>
      <c r="AF116" s="10">
        <f t="shared" si="161"/>
        <v>12.210018575486901</v>
      </c>
      <c r="AG116" s="10">
        <f t="shared" si="161"/>
        <v>12.761919577775732</v>
      </c>
      <c r="AH116" s="10">
        <f t="shared" si="161"/>
        <v>13.189763186888156</v>
      </c>
      <c r="AI116" s="10">
        <f t="shared" si="161"/>
        <v>13.493549402824168</v>
      </c>
      <c r="AJ116" s="10">
        <f t="shared" si="161"/>
        <v>14.061225013413127</v>
      </c>
      <c r="AK116" s="10">
        <f t="shared" si="161"/>
        <v>14.525714562744275</v>
      </c>
      <c r="AL116" s="10">
        <f t="shared" si="161"/>
        <v>14.924293049167943</v>
      </c>
      <c r="AM116" s="10">
        <f t="shared" si="161"/>
        <v>15.25696047268414</v>
      </c>
      <c r="AN116" s="10">
        <f t="shared" si="161"/>
        <v>15.523716833292863</v>
      </c>
      <c r="AO116" s="10">
        <f t="shared" si="161"/>
        <v>16.365364131483439</v>
      </c>
      <c r="AP116" s="10">
        <f t="shared" si="161"/>
        <v>17.207011429674019</v>
      </c>
      <c r="AQ116" s="10">
        <f t="shared" si="161"/>
        <v>18.048658727864598</v>
      </c>
      <c r="AR116" s="10">
        <f t="shared" si="161"/>
        <v>18.890306026055175</v>
      </c>
      <c r="AS116" s="10">
        <f t="shared" si="161"/>
        <v>19.731953324245751</v>
      </c>
      <c r="AT116" s="10">
        <f t="shared" si="161"/>
        <v>20.573600622436327</v>
      </c>
      <c r="AU116" s="10">
        <f t="shared" si="161"/>
        <v>21.446420042782112</v>
      </c>
      <c r="AV116" s="10">
        <f t="shared" si="161"/>
        <v>22.319239463127893</v>
      </c>
      <c r="AW116" s="10">
        <f t="shared" si="161"/>
        <v>23.192058883473678</v>
      </c>
      <c r="AX116" s="10">
        <f t="shared" si="161"/>
        <v>24.064878303819459</v>
      </c>
      <c r="AY116" s="10">
        <f t="shared" si="161"/>
        <v>24.937697724165247</v>
      </c>
      <c r="AZ116" s="10">
        <f t="shared" si="161"/>
        <v>24.937697724165247</v>
      </c>
      <c r="BA116" s="10">
        <f t="shared" si="161"/>
        <v>24.937697724165247</v>
      </c>
      <c r="BB116" s="10">
        <f t="shared" si="161"/>
        <v>24.937697724165247</v>
      </c>
      <c r="BC116" s="10">
        <f t="shared" si="161"/>
        <v>24.937697724165247</v>
      </c>
      <c r="BD116" s="10">
        <f t="shared" si="161"/>
        <v>24.937697724165247</v>
      </c>
      <c r="BE116" s="10">
        <f t="shared" si="161"/>
        <v>24.937697724165247</v>
      </c>
      <c r="BF116" s="10">
        <f t="shared" si="161"/>
        <v>24.937697724165247</v>
      </c>
      <c r="BG116" s="10">
        <f t="shared" si="161"/>
        <v>24.937697724165247</v>
      </c>
      <c r="BH116" s="10">
        <f t="shared" si="161"/>
        <v>24.937697724165247</v>
      </c>
      <c r="BI116" s="10">
        <f t="shared" si="161"/>
        <v>24.937697724165247</v>
      </c>
    </row>
    <row r="117" spans="1:61" ht="30">
      <c r="A117" s="8" t="s">
        <v>57</v>
      </c>
      <c r="B117" s="129" t="s">
        <v>48</v>
      </c>
      <c r="C117" s="13"/>
      <c r="D117" s="13"/>
      <c r="E117" s="13"/>
      <c r="F117" s="13"/>
      <c r="G117" s="13"/>
      <c r="H117" s="13"/>
      <c r="I117" s="13"/>
      <c r="J117" s="13"/>
      <c r="K117" s="13"/>
      <c r="L117" s="13"/>
      <c r="M117" s="13"/>
      <c r="N117" s="13"/>
      <c r="O117" s="13"/>
      <c r="P117" s="13"/>
      <c r="Q117" s="93"/>
      <c r="R117" s="93"/>
      <c r="S117" s="93"/>
      <c r="T117" s="10">
        <f t="shared" ref="T117:BI117" si="162">T$9*(T$86*10^-6)</f>
        <v>4.1459055406429171</v>
      </c>
      <c r="U117" s="10">
        <f t="shared" si="162"/>
        <v>4.2501356554398422</v>
      </c>
      <c r="V117" s="10">
        <f t="shared" si="162"/>
        <v>5.3692999710645282</v>
      </c>
      <c r="W117" s="10">
        <f t="shared" si="162"/>
        <v>6.2553006946382332</v>
      </c>
      <c r="X117" s="10">
        <f t="shared" si="162"/>
        <v>7.1248947445883868</v>
      </c>
      <c r="Y117" s="10">
        <f t="shared" si="162"/>
        <v>7.9780821209149879</v>
      </c>
      <c r="Z117" s="10">
        <f t="shared" si="162"/>
        <v>8.7111879498049891</v>
      </c>
      <c r="AA117" s="10">
        <f t="shared" si="162"/>
        <v>9.4065237977402667</v>
      </c>
      <c r="AB117" s="10">
        <f t="shared" si="162"/>
        <v>10.06408966472082</v>
      </c>
      <c r="AC117" s="10">
        <f t="shared" si="162"/>
        <v>10.683885550746648</v>
      </c>
      <c r="AD117" s="10">
        <f t="shared" si="162"/>
        <v>11.265911455817749</v>
      </c>
      <c r="AE117" s="10">
        <f t="shared" si="162"/>
        <v>11.534060180021656</v>
      </c>
      <c r="AF117" s="10">
        <f t="shared" si="162"/>
        <v>12.210018575486901</v>
      </c>
      <c r="AG117" s="10">
        <f t="shared" si="162"/>
        <v>12.761919577775732</v>
      </c>
      <c r="AH117" s="10">
        <f t="shared" si="162"/>
        <v>13.189763186888156</v>
      </c>
      <c r="AI117" s="10">
        <f t="shared" si="162"/>
        <v>13.493549402824168</v>
      </c>
      <c r="AJ117" s="10">
        <f t="shared" si="162"/>
        <v>14.061225013413127</v>
      </c>
      <c r="AK117" s="10">
        <f t="shared" si="162"/>
        <v>14.525714562744275</v>
      </c>
      <c r="AL117" s="10">
        <f t="shared" si="162"/>
        <v>14.924293049167943</v>
      </c>
      <c r="AM117" s="10">
        <f t="shared" si="162"/>
        <v>15.25696047268414</v>
      </c>
      <c r="AN117" s="10">
        <f t="shared" si="162"/>
        <v>15.523716833292863</v>
      </c>
      <c r="AO117" s="10">
        <f t="shared" si="162"/>
        <v>16.365364131483439</v>
      </c>
      <c r="AP117" s="10">
        <f t="shared" si="162"/>
        <v>17.207011429674019</v>
      </c>
      <c r="AQ117" s="10">
        <f t="shared" si="162"/>
        <v>18.048658727864598</v>
      </c>
      <c r="AR117" s="10">
        <f t="shared" si="162"/>
        <v>18.890306026055175</v>
      </c>
      <c r="AS117" s="10">
        <f t="shared" si="162"/>
        <v>19.731953324245751</v>
      </c>
      <c r="AT117" s="10">
        <f t="shared" si="162"/>
        <v>20.573600622436327</v>
      </c>
      <c r="AU117" s="10">
        <f t="shared" si="162"/>
        <v>21.446420042782112</v>
      </c>
      <c r="AV117" s="10">
        <f t="shared" si="162"/>
        <v>22.319239463127893</v>
      </c>
      <c r="AW117" s="10">
        <f t="shared" si="162"/>
        <v>23.192058883473678</v>
      </c>
      <c r="AX117" s="10">
        <f t="shared" si="162"/>
        <v>24.064878303819459</v>
      </c>
      <c r="AY117" s="10">
        <f t="shared" si="162"/>
        <v>24.937697724165247</v>
      </c>
      <c r="AZ117" s="10">
        <f t="shared" si="162"/>
        <v>24.937697724165247</v>
      </c>
      <c r="BA117" s="10">
        <f t="shared" si="162"/>
        <v>24.937697724165247</v>
      </c>
      <c r="BB117" s="10">
        <f t="shared" si="162"/>
        <v>24.937697724165247</v>
      </c>
      <c r="BC117" s="10">
        <f t="shared" si="162"/>
        <v>24.937697724165247</v>
      </c>
      <c r="BD117" s="10">
        <f t="shared" si="162"/>
        <v>24.937697724165247</v>
      </c>
      <c r="BE117" s="10">
        <f t="shared" si="162"/>
        <v>24.937697724165247</v>
      </c>
      <c r="BF117" s="10">
        <f t="shared" si="162"/>
        <v>24.937697724165247</v>
      </c>
      <c r="BG117" s="10">
        <f t="shared" si="162"/>
        <v>24.937697724165247</v>
      </c>
      <c r="BH117" s="10">
        <f t="shared" si="162"/>
        <v>24.937697724165247</v>
      </c>
      <c r="BI117" s="10">
        <f t="shared" si="162"/>
        <v>24.937697724165247</v>
      </c>
    </row>
    <row r="118" spans="1:61" ht="30">
      <c r="A118" s="8" t="s">
        <v>59</v>
      </c>
      <c r="B118" s="129" t="s">
        <v>48</v>
      </c>
      <c r="C118" s="13"/>
      <c r="D118" s="13"/>
      <c r="E118" s="13"/>
      <c r="F118" s="13"/>
      <c r="G118" s="13"/>
      <c r="H118" s="13"/>
      <c r="I118" s="13"/>
      <c r="J118" s="13"/>
      <c r="K118" s="13"/>
      <c r="L118" s="13"/>
      <c r="M118" s="13"/>
      <c r="N118" s="13"/>
      <c r="O118" s="13"/>
      <c r="P118" s="13"/>
      <c r="Q118" s="93"/>
      <c r="R118" s="93"/>
      <c r="S118" s="93"/>
      <c r="T118" s="10">
        <f t="shared" ref="T118:BI118" si="163">T$9*(T$87*10^-6)</f>
        <v>4.1459055406429171</v>
      </c>
      <c r="U118" s="10">
        <f t="shared" si="163"/>
        <v>4.2501356554398422</v>
      </c>
      <c r="V118" s="10">
        <f t="shared" si="163"/>
        <v>5.3692999710645282</v>
      </c>
      <c r="W118" s="10">
        <f t="shared" si="163"/>
        <v>6.2553006946382332</v>
      </c>
      <c r="X118" s="10">
        <f t="shared" si="163"/>
        <v>7.1248947445883868</v>
      </c>
      <c r="Y118" s="10">
        <f t="shared" si="163"/>
        <v>7.9780821209149879</v>
      </c>
      <c r="Z118" s="10">
        <f t="shared" si="163"/>
        <v>8.7111879498049891</v>
      </c>
      <c r="AA118" s="10">
        <f t="shared" si="163"/>
        <v>9.4065237977402667</v>
      </c>
      <c r="AB118" s="10">
        <f t="shared" si="163"/>
        <v>10.06408966472082</v>
      </c>
      <c r="AC118" s="10">
        <f t="shared" si="163"/>
        <v>10.683885550746648</v>
      </c>
      <c r="AD118" s="10">
        <f t="shared" si="163"/>
        <v>11.265911455817749</v>
      </c>
      <c r="AE118" s="10">
        <f t="shared" si="163"/>
        <v>11.534060180021656</v>
      </c>
      <c r="AF118" s="10">
        <f t="shared" si="163"/>
        <v>12.210018575486901</v>
      </c>
      <c r="AG118" s="10">
        <f t="shared" si="163"/>
        <v>12.761919577775732</v>
      </c>
      <c r="AH118" s="10">
        <f t="shared" si="163"/>
        <v>13.189763186888156</v>
      </c>
      <c r="AI118" s="10">
        <f t="shared" si="163"/>
        <v>13.493549402824168</v>
      </c>
      <c r="AJ118" s="10">
        <f t="shared" si="163"/>
        <v>14.061225013413127</v>
      </c>
      <c r="AK118" s="10">
        <f t="shared" si="163"/>
        <v>14.525714562744275</v>
      </c>
      <c r="AL118" s="10">
        <f t="shared" si="163"/>
        <v>14.924293049167943</v>
      </c>
      <c r="AM118" s="10">
        <f t="shared" si="163"/>
        <v>15.25696047268414</v>
      </c>
      <c r="AN118" s="10">
        <f t="shared" si="163"/>
        <v>15.523716833292863</v>
      </c>
      <c r="AO118" s="10">
        <f t="shared" si="163"/>
        <v>16.365364131483439</v>
      </c>
      <c r="AP118" s="10">
        <f t="shared" si="163"/>
        <v>17.207011429674019</v>
      </c>
      <c r="AQ118" s="10">
        <f t="shared" si="163"/>
        <v>18.048658727864598</v>
      </c>
      <c r="AR118" s="10">
        <f t="shared" si="163"/>
        <v>18.890306026055175</v>
      </c>
      <c r="AS118" s="10">
        <f t="shared" si="163"/>
        <v>19.731953324245751</v>
      </c>
      <c r="AT118" s="10">
        <f t="shared" si="163"/>
        <v>20.573600622436327</v>
      </c>
      <c r="AU118" s="10">
        <f t="shared" si="163"/>
        <v>21.446420042782112</v>
      </c>
      <c r="AV118" s="10">
        <f t="shared" si="163"/>
        <v>22.319239463127893</v>
      </c>
      <c r="AW118" s="10">
        <f t="shared" si="163"/>
        <v>23.192058883473678</v>
      </c>
      <c r="AX118" s="10">
        <f t="shared" si="163"/>
        <v>24.064878303819459</v>
      </c>
      <c r="AY118" s="10">
        <f t="shared" si="163"/>
        <v>24.937697724165247</v>
      </c>
      <c r="AZ118" s="10">
        <f t="shared" si="163"/>
        <v>24.937697724165247</v>
      </c>
      <c r="BA118" s="10">
        <f t="shared" si="163"/>
        <v>24.937697724165247</v>
      </c>
      <c r="BB118" s="10">
        <f t="shared" si="163"/>
        <v>24.937697724165247</v>
      </c>
      <c r="BC118" s="10">
        <f t="shared" si="163"/>
        <v>24.937697724165247</v>
      </c>
      <c r="BD118" s="10">
        <f t="shared" si="163"/>
        <v>24.937697724165247</v>
      </c>
      <c r="BE118" s="10">
        <f t="shared" si="163"/>
        <v>24.937697724165247</v>
      </c>
      <c r="BF118" s="10">
        <f t="shared" si="163"/>
        <v>24.937697724165247</v>
      </c>
      <c r="BG118" s="10">
        <f t="shared" si="163"/>
        <v>24.937697724165247</v>
      </c>
      <c r="BH118" s="10">
        <f t="shared" si="163"/>
        <v>24.937697724165247</v>
      </c>
      <c r="BI118" s="10">
        <f t="shared" si="163"/>
        <v>24.937697724165247</v>
      </c>
    </row>
    <row r="119" spans="1:61" ht="30">
      <c r="A119" s="8" t="s">
        <v>56</v>
      </c>
      <c r="B119" s="129" t="s">
        <v>48</v>
      </c>
      <c r="C119" s="13"/>
      <c r="D119" s="13"/>
      <c r="E119" s="13"/>
      <c r="F119" s="13"/>
      <c r="G119" s="13"/>
      <c r="H119" s="13"/>
      <c r="I119" s="13"/>
      <c r="J119" s="13"/>
      <c r="K119" s="13"/>
      <c r="L119" s="13"/>
      <c r="M119" s="13"/>
      <c r="N119" s="13"/>
      <c r="O119" s="13"/>
      <c r="P119" s="13"/>
      <c r="Q119" s="93"/>
      <c r="R119" s="93"/>
      <c r="S119" s="93"/>
      <c r="T119" s="10">
        <f t="shared" ref="T119:BI119" si="164">T$9*(T$88*10^-6)</f>
        <v>4.1459055406429171</v>
      </c>
      <c r="U119" s="10">
        <f t="shared" si="164"/>
        <v>4.2501356554398422</v>
      </c>
      <c r="V119" s="10">
        <f t="shared" si="164"/>
        <v>5.3692999710645282</v>
      </c>
      <c r="W119" s="10">
        <f t="shared" si="164"/>
        <v>6.2553006946382332</v>
      </c>
      <c r="X119" s="10">
        <f t="shared" si="164"/>
        <v>7.1248947445883868</v>
      </c>
      <c r="Y119" s="10">
        <f t="shared" si="164"/>
        <v>7.9780821209149879</v>
      </c>
      <c r="Z119" s="10">
        <f t="shared" si="164"/>
        <v>8.7111879498049891</v>
      </c>
      <c r="AA119" s="10">
        <f t="shared" si="164"/>
        <v>9.4065237977402667</v>
      </c>
      <c r="AB119" s="10">
        <f t="shared" si="164"/>
        <v>10.06408966472082</v>
      </c>
      <c r="AC119" s="10">
        <f t="shared" si="164"/>
        <v>10.683885550746648</v>
      </c>
      <c r="AD119" s="10">
        <f t="shared" si="164"/>
        <v>11.265911455817749</v>
      </c>
      <c r="AE119" s="10">
        <f t="shared" si="164"/>
        <v>11.534060180021656</v>
      </c>
      <c r="AF119" s="10">
        <f t="shared" si="164"/>
        <v>12.210018575486901</v>
      </c>
      <c r="AG119" s="10">
        <f t="shared" si="164"/>
        <v>12.761919577775732</v>
      </c>
      <c r="AH119" s="10">
        <f t="shared" si="164"/>
        <v>13.189763186888156</v>
      </c>
      <c r="AI119" s="10">
        <f t="shared" si="164"/>
        <v>13.493549402824168</v>
      </c>
      <c r="AJ119" s="10">
        <f t="shared" si="164"/>
        <v>14.061225013413127</v>
      </c>
      <c r="AK119" s="10">
        <f t="shared" si="164"/>
        <v>14.525714562744275</v>
      </c>
      <c r="AL119" s="10">
        <f t="shared" si="164"/>
        <v>14.924293049167943</v>
      </c>
      <c r="AM119" s="10">
        <f t="shared" si="164"/>
        <v>15.25696047268414</v>
      </c>
      <c r="AN119" s="10">
        <f t="shared" si="164"/>
        <v>15.523716833292863</v>
      </c>
      <c r="AO119" s="10">
        <f t="shared" si="164"/>
        <v>16.365364131483439</v>
      </c>
      <c r="AP119" s="10">
        <f t="shared" si="164"/>
        <v>17.207011429674019</v>
      </c>
      <c r="AQ119" s="10">
        <f t="shared" si="164"/>
        <v>18.048658727864598</v>
      </c>
      <c r="AR119" s="10">
        <f t="shared" si="164"/>
        <v>18.890306026055175</v>
      </c>
      <c r="AS119" s="10">
        <f t="shared" si="164"/>
        <v>19.731953324245751</v>
      </c>
      <c r="AT119" s="10">
        <f t="shared" si="164"/>
        <v>20.573600622436327</v>
      </c>
      <c r="AU119" s="10">
        <f t="shared" si="164"/>
        <v>21.446420042782112</v>
      </c>
      <c r="AV119" s="10">
        <f t="shared" si="164"/>
        <v>22.319239463127893</v>
      </c>
      <c r="AW119" s="10">
        <f t="shared" si="164"/>
        <v>23.192058883473678</v>
      </c>
      <c r="AX119" s="10">
        <f t="shared" si="164"/>
        <v>24.064878303819459</v>
      </c>
      <c r="AY119" s="10">
        <f t="shared" si="164"/>
        <v>24.937697724165247</v>
      </c>
      <c r="AZ119" s="10">
        <f t="shared" si="164"/>
        <v>24.937697724165247</v>
      </c>
      <c r="BA119" s="10">
        <f t="shared" si="164"/>
        <v>24.937697724165247</v>
      </c>
      <c r="BB119" s="10">
        <f t="shared" si="164"/>
        <v>24.937697724165247</v>
      </c>
      <c r="BC119" s="10">
        <f t="shared" si="164"/>
        <v>24.937697724165247</v>
      </c>
      <c r="BD119" s="10">
        <f t="shared" si="164"/>
        <v>24.937697724165247</v>
      </c>
      <c r="BE119" s="10">
        <f t="shared" si="164"/>
        <v>24.937697724165247</v>
      </c>
      <c r="BF119" s="10">
        <f t="shared" si="164"/>
        <v>24.937697724165247</v>
      </c>
      <c r="BG119" s="10">
        <f t="shared" si="164"/>
        <v>24.937697724165247</v>
      </c>
      <c r="BH119" s="10">
        <f t="shared" si="164"/>
        <v>24.937697724165247</v>
      </c>
      <c r="BI119" s="10">
        <f t="shared" si="164"/>
        <v>24.937697724165247</v>
      </c>
    </row>
    <row r="120" spans="1:61" s="534" customFormat="1">
      <c r="A120" s="718" t="s">
        <v>218</v>
      </c>
      <c r="B120" s="685" t="s">
        <v>328</v>
      </c>
      <c r="C120" s="671"/>
      <c r="D120" s="671"/>
      <c r="E120" s="671"/>
      <c r="F120" s="671"/>
      <c r="G120" s="671"/>
      <c r="H120" s="671"/>
      <c r="I120" s="671"/>
      <c r="J120" s="671"/>
      <c r="K120" s="671"/>
      <c r="L120" s="671"/>
      <c r="M120" s="671"/>
      <c r="N120" s="671"/>
      <c r="O120" s="671"/>
      <c r="P120" s="674"/>
      <c r="Q120" s="6"/>
      <c r="R120" s="6"/>
      <c r="S120" s="6"/>
      <c r="T120" s="6">
        <v>2020</v>
      </c>
      <c r="U120" s="6">
        <f>T120+1</f>
        <v>2021</v>
      </c>
      <c r="V120" s="6">
        <f t="shared" ref="V120:BI120" si="165">U120+1</f>
        <v>2022</v>
      </c>
      <c r="W120" s="6">
        <f t="shared" si="165"/>
        <v>2023</v>
      </c>
      <c r="X120" s="6">
        <f t="shared" si="165"/>
        <v>2024</v>
      </c>
      <c r="Y120" s="6">
        <f t="shared" si="165"/>
        <v>2025</v>
      </c>
      <c r="Z120" s="6">
        <f t="shared" si="165"/>
        <v>2026</v>
      </c>
      <c r="AA120" s="6">
        <f t="shared" si="165"/>
        <v>2027</v>
      </c>
      <c r="AB120" s="6">
        <f t="shared" si="165"/>
        <v>2028</v>
      </c>
      <c r="AC120" s="6">
        <f t="shared" si="165"/>
        <v>2029</v>
      </c>
      <c r="AD120" s="6">
        <f t="shared" si="165"/>
        <v>2030</v>
      </c>
      <c r="AE120" s="6">
        <f t="shared" si="165"/>
        <v>2031</v>
      </c>
      <c r="AF120" s="6">
        <f t="shared" si="165"/>
        <v>2032</v>
      </c>
      <c r="AG120" s="6">
        <f t="shared" si="165"/>
        <v>2033</v>
      </c>
      <c r="AH120" s="6">
        <f t="shared" si="165"/>
        <v>2034</v>
      </c>
      <c r="AI120" s="6">
        <f t="shared" si="165"/>
        <v>2035</v>
      </c>
      <c r="AJ120" s="6">
        <f t="shared" si="165"/>
        <v>2036</v>
      </c>
      <c r="AK120" s="6">
        <f t="shared" si="165"/>
        <v>2037</v>
      </c>
      <c r="AL120" s="6">
        <f t="shared" si="165"/>
        <v>2038</v>
      </c>
      <c r="AM120" s="6">
        <f t="shared" si="165"/>
        <v>2039</v>
      </c>
      <c r="AN120" s="6">
        <f t="shared" si="165"/>
        <v>2040</v>
      </c>
      <c r="AO120" s="6">
        <f t="shared" si="165"/>
        <v>2041</v>
      </c>
      <c r="AP120" s="6">
        <f t="shared" si="165"/>
        <v>2042</v>
      </c>
      <c r="AQ120" s="6">
        <f t="shared" si="165"/>
        <v>2043</v>
      </c>
      <c r="AR120" s="6">
        <f t="shared" si="165"/>
        <v>2044</v>
      </c>
      <c r="AS120" s="6">
        <f t="shared" si="165"/>
        <v>2045</v>
      </c>
      <c r="AT120" s="6">
        <f t="shared" si="165"/>
        <v>2046</v>
      </c>
      <c r="AU120" s="6">
        <f t="shared" si="165"/>
        <v>2047</v>
      </c>
      <c r="AV120" s="6">
        <f t="shared" si="165"/>
        <v>2048</v>
      </c>
      <c r="AW120" s="6">
        <f t="shared" si="165"/>
        <v>2049</v>
      </c>
      <c r="AX120" s="6">
        <f t="shared" si="165"/>
        <v>2050</v>
      </c>
      <c r="AY120" s="6">
        <f t="shared" si="165"/>
        <v>2051</v>
      </c>
      <c r="AZ120" s="6">
        <f t="shared" si="165"/>
        <v>2052</v>
      </c>
      <c r="BA120" s="6">
        <f t="shared" si="165"/>
        <v>2053</v>
      </c>
      <c r="BB120" s="6">
        <f t="shared" si="165"/>
        <v>2054</v>
      </c>
      <c r="BC120" s="6">
        <f t="shared" si="165"/>
        <v>2055</v>
      </c>
      <c r="BD120" s="6">
        <f t="shared" si="165"/>
        <v>2056</v>
      </c>
      <c r="BE120" s="6">
        <f t="shared" si="165"/>
        <v>2057</v>
      </c>
      <c r="BF120" s="6">
        <f t="shared" si="165"/>
        <v>2058</v>
      </c>
      <c r="BG120" s="6">
        <f t="shared" si="165"/>
        <v>2059</v>
      </c>
      <c r="BH120" s="6">
        <f t="shared" si="165"/>
        <v>2060</v>
      </c>
      <c r="BI120" s="6">
        <f t="shared" si="165"/>
        <v>2061</v>
      </c>
    </row>
    <row r="121" spans="1:61">
      <c r="A121" s="719"/>
      <c r="B121" s="686" t="s">
        <v>530</v>
      </c>
      <c r="C121" s="681"/>
      <c r="D121" s="681"/>
      <c r="E121" s="681"/>
      <c r="F121" s="681"/>
      <c r="G121" s="681"/>
      <c r="H121" s="681"/>
      <c r="I121" s="681"/>
      <c r="J121" s="681"/>
      <c r="K121" s="681"/>
      <c r="L121" s="681"/>
      <c r="M121" s="681"/>
      <c r="N121" s="681"/>
      <c r="O121" s="681"/>
      <c r="P121" s="687"/>
      <c r="Q121" s="683">
        <f>DATE(2016,12,31)</f>
        <v>42735</v>
      </c>
      <c r="R121" s="683">
        <f>DATE(YEAR(Q121+1),12,31)</f>
        <v>43100</v>
      </c>
      <c r="S121" s="683">
        <f t="shared" ref="S121" si="166">DATE(YEAR(R121+1),12,31)</f>
        <v>43465</v>
      </c>
      <c r="T121" s="683">
        <f>DATE(YEAR(S121+1),12,31)</f>
        <v>43830</v>
      </c>
      <c r="U121" s="683">
        <f t="shared" ref="U121:BI121" si="167">DATE(YEAR(T121+1),12,31)</f>
        <v>44196</v>
      </c>
      <c r="V121" s="683">
        <f t="shared" si="167"/>
        <v>44561</v>
      </c>
      <c r="W121" s="683">
        <f t="shared" si="167"/>
        <v>44926</v>
      </c>
      <c r="X121" s="683">
        <f t="shared" si="167"/>
        <v>45291</v>
      </c>
      <c r="Y121" s="683">
        <f t="shared" si="167"/>
        <v>45657</v>
      </c>
      <c r="Z121" s="683">
        <f t="shared" si="167"/>
        <v>46022</v>
      </c>
      <c r="AA121" s="683">
        <f t="shared" si="167"/>
        <v>46387</v>
      </c>
      <c r="AB121" s="683">
        <f t="shared" si="167"/>
        <v>46752</v>
      </c>
      <c r="AC121" s="683">
        <f t="shared" si="167"/>
        <v>47118</v>
      </c>
      <c r="AD121" s="683">
        <f t="shared" si="167"/>
        <v>47483</v>
      </c>
      <c r="AE121" s="683">
        <f t="shared" si="167"/>
        <v>47848</v>
      </c>
      <c r="AF121" s="683">
        <f t="shared" si="167"/>
        <v>48213</v>
      </c>
      <c r="AG121" s="683">
        <f t="shared" si="167"/>
        <v>48579</v>
      </c>
      <c r="AH121" s="683">
        <f t="shared" si="167"/>
        <v>48944</v>
      </c>
      <c r="AI121" s="683">
        <f t="shared" si="167"/>
        <v>49309</v>
      </c>
      <c r="AJ121" s="683">
        <f t="shared" si="167"/>
        <v>49674</v>
      </c>
      <c r="AK121" s="683">
        <f t="shared" si="167"/>
        <v>50040</v>
      </c>
      <c r="AL121" s="683">
        <f t="shared" si="167"/>
        <v>50405</v>
      </c>
      <c r="AM121" s="683">
        <f t="shared" si="167"/>
        <v>50770</v>
      </c>
      <c r="AN121" s="683">
        <f t="shared" si="167"/>
        <v>51135</v>
      </c>
      <c r="AO121" s="683">
        <f t="shared" si="167"/>
        <v>51501</v>
      </c>
      <c r="AP121" s="683">
        <f t="shared" si="167"/>
        <v>51866</v>
      </c>
      <c r="AQ121" s="683">
        <f t="shared" si="167"/>
        <v>52231</v>
      </c>
      <c r="AR121" s="683">
        <f t="shared" si="167"/>
        <v>52596</v>
      </c>
      <c r="AS121" s="683">
        <f t="shared" si="167"/>
        <v>52962</v>
      </c>
      <c r="AT121" s="683">
        <f t="shared" si="167"/>
        <v>53327</v>
      </c>
      <c r="AU121" s="683">
        <f t="shared" si="167"/>
        <v>53692</v>
      </c>
      <c r="AV121" s="683">
        <f t="shared" si="167"/>
        <v>54057</v>
      </c>
      <c r="AW121" s="683">
        <f t="shared" si="167"/>
        <v>54423</v>
      </c>
      <c r="AX121" s="683">
        <f t="shared" si="167"/>
        <v>54788</v>
      </c>
      <c r="AY121" s="683">
        <f t="shared" si="167"/>
        <v>55153</v>
      </c>
      <c r="AZ121" s="683">
        <f t="shared" si="167"/>
        <v>55518</v>
      </c>
      <c r="BA121" s="683">
        <f t="shared" si="167"/>
        <v>55884</v>
      </c>
      <c r="BB121" s="683">
        <f t="shared" si="167"/>
        <v>56249</v>
      </c>
      <c r="BC121" s="683">
        <f t="shared" si="167"/>
        <v>56614</v>
      </c>
      <c r="BD121" s="683">
        <f t="shared" si="167"/>
        <v>56979</v>
      </c>
      <c r="BE121" s="683">
        <f t="shared" si="167"/>
        <v>57345</v>
      </c>
      <c r="BF121" s="683">
        <f t="shared" si="167"/>
        <v>57710</v>
      </c>
      <c r="BG121" s="683">
        <f t="shared" si="167"/>
        <v>58075</v>
      </c>
      <c r="BH121" s="683">
        <f t="shared" si="167"/>
        <v>58440</v>
      </c>
      <c r="BI121" s="683">
        <f t="shared" si="167"/>
        <v>58806</v>
      </c>
    </row>
    <row r="122" spans="1:61" ht="30">
      <c r="A122" s="8" t="str">
        <f>A116</f>
        <v>Średnio, wszystkie rodzaje 
(1000t - 21 wagonów)</v>
      </c>
      <c r="B122" s="129" t="s">
        <v>48</v>
      </c>
      <c r="C122" s="13"/>
      <c r="D122" s="13"/>
      <c r="E122" s="13"/>
      <c r="F122" s="13"/>
      <c r="G122" s="13"/>
      <c r="H122" s="13"/>
      <c r="I122" s="13"/>
      <c r="J122" s="13"/>
      <c r="K122" s="13"/>
      <c r="L122" s="13"/>
      <c r="M122" s="13"/>
      <c r="N122" s="13"/>
      <c r="O122" s="13"/>
      <c r="P122" s="13"/>
      <c r="Q122" s="93"/>
      <c r="R122" s="93"/>
      <c r="S122" s="93"/>
      <c r="T122" s="10">
        <f t="shared" ref="T122:BI122" si="168">T$9*(T$90*10^-6)</f>
        <v>11.940361113239231</v>
      </c>
      <c r="U122" s="10">
        <f t="shared" si="168"/>
        <v>12.346333391089363</v>
      </c>
      <c r="V122" s="10">
        <f t="shared" si="168"/>
        <v>15.73339562776734</v>
      </c>
      <c r="W122" s="10">
        <f t="shared" si="168"/>
        <v>18.490794861499761</v>
      </c>
      <c r="X122" s="10">
        <f t="shared" si="168"/>
        <v>21.248194095232179</v>
      </c>
      <c r="Y122" s="10">
        <f t="shared" si="168"/>
        <v>24.005593328964601</v>
      </c>
      <c r="Z122" s="10">
        <f t="shared" si="168"/>
        <v>26.762992562697022</v>
      </c>
      <c r="AA122" s="10">
        <f t="shared" si="168"/>
        <v>29.520391796429443</v>
      </c>
      <c r="AB122" s="10">
        <f t="shared" si="168"/>
        <v>32.277791030161865</v>
      </c>
      <c r="AC122" s="10">
        <f t="shared" si="168"/>
        <v>35.035190263894286</v>
      </c>
      <c r="AD122" s="10">
        <f t="shared" si="168"/>
        <v>37.7925894976267</v>
      </c>
      <c r="AE122" s="10">
        <f t="shared" si="168"/>
        <v>40.549988731359129</v>
      </c>
      <c r="AF122" s="10">
        <f t="shared" si="168"/>
        <v>45.091587469271346</v>
      </c>
      <c r="AG122" s="10">
        <f t="shared" si="168"/>
        <v>49.63318620718357</v>
      </c>
      <c r="AH122" s="10">
        <f t="shared" si="168"/>
        <v>54.174784945095794</v>
      </c>
      <c r="AI122" s="10">
        <f t="shared" si="168"/>
        <v>58.716383683008011</v>
      </c>
      <c r="AJ122" s="10">
        <f t="shared" si="168"/>
        <v>63.257982420920229</v>
      </c>
      <c r="AK122" s="10">
        <f t="shared" si="168"/>
        <v>67.637381203907012</v>
      </c>
      <c r="AL122" s="10">
        <f t="shared" si="168"/>
        <v>72.016779986893795</v>
      </c>
      <c r="AM122" s="10">
        <f t="shared" si="168"/>
        <v>76.396178769880578</v>
      </c>
      <c r="AN122" s="10">
        <f t="shared" si="168"/>
        <v>80.775577552867361</v>
      </c>
      <c r="AO122" s="10">
        <f t="shared" si="168"/>
        <v>85.154976335854144</v>
      </c>
      <c r="AP122" s="10">
        <f t="shared" si="168"/>
        <v>89.534375118840941</v>
      </c>
      <c r="AQ122" s="10">
        <f t="shared" si="168"/>
        <v>93.913773901827739</v>
      </c>
      <c r="AR122" s="10">
        <f t="shared" si="168"/>
        <v>98.293172684814522</v>
      </c>
      <c r="AS122" s="10">
        <f t="shared" si="168"/>
        <v>102.6725714678013</v>
      </c>
      <c r="AT122" s="10">
        <f t="shared" si="168"/>
        <v>107.05197025078809</v>
      </c>
      <c r="AU122" s="10">
        <f t="shared" si="168"/>
        <v>111.59356898870031</v>
      </c>
      <c r="AV122" s="10">
        <f t="shared" si="168"/>
        <v>116.13516772661252</v>
      </c>
      <c r="AW122" s="10">
        <f t="shared" si="168"/>
        <v>120.67676646452475</v>
      </c>
      <c r="AX122" s="10">
        <f t="shared" si="168"/>
        <v>125.21836520243696</v>
      </c>
      <c r="AY122" s="10">
        <f t="shared" si="168"/>
        <v>129.75996394034919</v>
      </c>
      <c r="AZ122" s="10">
        <f t="shared" si="168"/>
        <v>129.75996394034919</v>
      </c>
      <c r="BA122" s="10">
        <f t="shared" si="168"/>
        <v>129.75996394034919</v>
      </c>
      <c r="BB122" s="10">
        <f t="shared" si="168"/>
        <v>129.75996394034919</v>
      </c>
      <c r="BC122" s="10">
        <f t="shared" si="168"/>
        <v>129.75996394034919</v>
      </c>
      <c r="BD122" s="10">
        <f t="shared" si="168"/>
        <v>129.75996394034919</v>
      </c>
      <c r="BE122" s="10">
        <f t="shared" si="168"/>
        <v>129.75996394034919</v>
      </c>
      <c r="BF122" s="10">
        <f t="shared" si="168"/>
        <v>129.75996394034919</v>
      </c>
      <c r="BG122" s="10">
        <f t="shared" si="168"/>
        <v>129.75996394034919</v>
      </c>
      <c r="BH122" s="10">
        <f t="shared" si="168"/>
        <v>129.75996394034919</v>
      </c>
      <c r="BI122" s="10">
        <f t="shared" si="168"/>
        <v>129.75996394034919</v>
      </c>
    </row>
    <row r="123" spans="1:61" ht="30">
      <c r="A123" s="8" t="str">
        <f>A117</f>
        <v>Masowe 
(1000t - 18 wagonów)</v>
      </c>
      <c r="B123" s="129" t="s">
        <v>48</v>
      </c>
      <c r="C123" s="13"/>
      <c r="D123" s="13"/>
      <c r="E123" s="13"/>
      <c r="F123" s="13"/>
      <c r="G123" s="13"/>
      <c r="H123" s="13"/>
      <c r="I123" s="13"/>
      <c r="J123" s="13"/>
      <c r="K123" s="13"/>
      <c r="L123" s="13"/>
      <c r="M123" s="13"/>
      <c r="N123" s="13"/>
      <c r="O123" s="13"/>
      <c r="P123" s="13"/>
      <c r="Q123" s="93"/>
      <c r="R123" s="93"/>
      <c r="S123" s="93"/>
      <c r="T123" s="10">
        <f t="shared" ref="T123:BI123" si="169">T$9*(T$91*10^-6)</f>
        <v>11.940361113239231</v>
      </c>
      <c r="U123" s="10">
        <f t="shared" si="169"/>
        <v>12.346333391089363</v>
      </c>
      <c r="V123" s="10">
        <f t="shared" si="169"/>
        <v>15.73339562776734</v>
      </c>
      <c r="W123" s="10">
        <f t="shared" si="169"/>
        <v>18.490794861499761</v>
      </c>
      <c r="X123" s="10">
        <f t="shared" si="169"/>
        <v>21.248194095232179</v>
      </c>
      <c r="Y123" s="10">
        <f t="shared" si="169"/>
        <v>24.005593328964601</v>
      </c>
      <c r="Z123" s="10">
        <f t="shared" si="169"/>
        <v>26.762992562697022</v>
      </c>
      <c r="AA123" s="10">
        <f t="shared" si="169"/>
        <v>29.520391796429443</v>
      </c>
      <c r="AB123" s="10">
        <f t="shared" si="169"/>
        <v>32.277791030161865</v>
      </c>
      <c r="AC123" s="10">
        <f t="shared" si="169"/>
        <v>35.035190263894286</v>
      </c>
      <c r="AD123" s="10">
        <f t="shared" si="169"/>
        <v>37.7925894976267</v>
      </c>
      <c r="AE123" s="10">
        <f t="shared" si="169"/>
        <v>40.549988731359129</v>
      </c>
      <c r="AF123" s="10">
        <f t="shared" si="169"/>
        <v>45.091587469271346</v>
      </c>
      <c r="AG123" s="10">
        <f t="shared" si="169"/>
        <v>49.63318620718357</v>
      </c>
      <c r="AH123" s="10">
        <f t="shared" si="169"/>
        <v>54.174784945095794</v>
      </c>
      <c r="AI123" s="10">
        <f t="shared" si="169"/>
        <v>58.716383683008011</v>
      </c>
      <c r="AJ123" s="10">
        <f t="shared" si="169"/>
        <v>63.257982420920229</v>
      </c>
      <c r="AK123" s="10">
        <f t="shared" si="169"/>
        <v>67.637381203907012</v>
      </c>
      <c r="AL123" s="10">
        <f t="shared" si="169"/>
        <v>72.016779986893795</v>
      </c>
      <c r="AM123" s="10">
        <f t="shared" si="169"/>
        <v>76.396178769880578</v>
      </c>
      <c r="AN123" s="10">
        <f t="shared" si="169"/>
        <v>80.775577552867361</v>
      </c>
      <c r="AO123" s="10">
        <f t="shared" si="169"/>
        <v>85.154976335854144</v>
      </c>
      <c r="AP123" s="10">
        <f t="shared" si="169"/>
        <v>89.534375118840941</v>
      </c>
      <c r="AQ123" s="10">
        <f t="shared" si="169"/>
        <v>93.913773901827739</v>
      </c>
      <c r="AR123" s="10">
        <f t="shared" si="169"/>
        <v>98.293172684814522</v>
      </c>
      <c r="AS123" s="10">
        <f t="shared" si="169"/>
        <v>102.6725714678013</v>
      </c>
      <c r="AT123" s="10">
        <f t="shared" si="169"/>
        <v>107.05197025078809</v>
      </c>
      <c r="AU123" s="10">
        <f t="shared" si="169"/>
        <v>111.59356898870031</v>
      </c>
      <c r="AV123" s="10">
        <f t="shared" si="169"/>
        <v>116.13516772661252</v>
      </c>
      <c r="AW123" s="10">
        <f t="shared" si="169"/>
        <v>120.67676646452475</v>
      </c>
      <c r="AX123" s="10">
        <f t="shared" si="169"/>
        <v>125.21836520243696</v>
      </c>
      <c r="AY123" s="10">
        <f t="shared" si="169"/>
        <v>129.75996394034919</v>
      </c>
      <c r="AZ123" s="10">
        <f t="shared" si="169"/>
        <v>129.75996394034919</v>
      </c>
      <c r="BA123" s="10">
        <f t="shared" si="169"/>
        <v>129.75996394034919</v>
      </c>
      <c r="BB123" s="10">
        <f t="shared" si="169"/>
        <v>129.75996394034919</v>
      </c>
      <c r="BC123" s="10">
        <f t="shared" si="169"/>
        <v>129.75996394034919</v>
      </c>
      <c r="BD123" s="10">
        <f t="shared" si="169"/>
        <v>129.75996394034919</v>
      </c>
      <c r="BE123" s="10">
        <f t="shared" si="169"/>
        <v>129.75996394034919</v>
      </c>
      <c r="BF123" s="10">
        <f t="shared" si="169"/>
        <v>129.75996394034919</v>
      </c>
      <c r="BG123" s="10">
        <f t="shared" si="169"/>
        <v>129.75996394034919</v>
      </c>
      <c r="BH123" s="10">
        <f t="shared" si="169"/>
        <v>129.75996394034919</v>
      </c>
      <c r="BI123" s="10">
        <f t="shared" si="169"/>
        <v>129.75996394034919</v>
      </c>
    </row>
    <row r="124" spans="1:61" ht="30">
      <c r="A124" s="8" t="str">
        <f>A118</f>
        <v>Gabarytowe 
(1000t - 26 wagonów)</v>
      </c>
      <c r="B124" s="129" t="s">
        <v>48</v>
      </c>
      <c r="C124" s="13"/>
      <c r="D124" s="13"/>
      <c r="E124" s="13"/>
      <c r="F124" s="13"/>
      <c r="G124" s="13"/>
      <c r="H124" s="13"/>
      <c r="I124" s="13"/>
      <c r="J124" s="13"/>
      <c r="K124" s="13"/>
      <c r="L124" s="13"/>
      <c r="M124" s="13"/>
      <c r="N124" s="13"/>
      <c r="O124" s="13"/>
      <c r="P124" s="13"/>
      <c r="Q124" s="93"/>
      <c r="R124" s="93"/>
      <c r="S124" s="93"/>
      <c r="T124" s="10">
        <f t="shared" ref="T124:BI124" si="170">T$9*(T$92*10^-6)</f>
        <v>11.940361113239231</v>
      </c>
      <c r="U124" s="10">
        <f t="shared" si="170"/>
        <v>12.346333391089363</v>
      </c>
      <c r="V124" s="10">
        <f t="shared" si="170"/>
        <v>15.73339562776734</v>
      </c>
      <c r="W124" s="10">
        <f t="shared" si="170"/>
        <v>18.490794861499761</v>
      </c>
      <c r="X124" s="10">
        <f t="shared" si="170"/>
        <v>21.248194095232179</v>
      </c>
      <c r="Y124" s="10">
        <f t="shared" si="170"/>
        <v>24.005593328964601</v>
      </c>
      <c r="Z124" s="10">
        <f t="shared" si="170"/>
        <v>26.762992562697022</v>
      </c>
      <c r="AA124" s="10">
        <f t="shared" si="170"/>
        <v>29.520391796429443</v>
      </c>
      <c r="AB124" s="10">
        <f t="shared" si="170"/>
        <v>32.277791030161865</v>
      </c>
      <c r="AC124" s="10">
        <f t="shared" si="170"/>
        <v>35.035190263894286</v>
      </c>
      <c r="AD124" s="10">
        <f t="shared" si="170"/>
        <v>37.7925894976267</v>
      </c>
      <c r="AE124" s="10">
        <f t="shared" si="170"/>
        <v>40.549988731359129</v>
      </c>
      <c r="AF124" s="10">
        <f t="shared" si="170"/>
        <v>45.091587469271346</v>
      </c>
      <c r="AG124" s="10">
        <f t="shared" si="170"/>
        <v>49.63318620718357</v>
      </c>
      <c r="AH124" s="10">
        <f t="shared" si="170"/>
        <v>54.174784945095794</v>
      </c>
      <c r="AI124" s="10">
        <f t="shared" si="170"/>
        <v>58.716383683008011</v>
      </c>
      <c r="AJ124" s="10">
        <f t="shared" si="170"/>
        <v>63.257982420920229</v>
      </c>
      <c r="AK124" s="10">
        <f t="shared" si="170"/>
        <v>67.637381203907012</v>
      </c>
      <c r="AL124" s="10">
        <f t="shared" si="170"/>
        <v>72.016779986893795</v>
      </c>
      <c r="AM124" s="10">
        <f t="shared" si="170"/>
        <v>76.396178769880578</v>
      </c>
      <c r="AN124" s="10">
        <f t="shared" si="170"/>
        <v>80.775577552867361</v>
      </c>
      <c r="AO124" s="10">
        <f t="shared" si="170"/>
        <v>85.154976335854144</v>
      </c>
      <c r="AP124" s="10">
        <f t="shared" si="170"/>
        <v>89.534375118840941</v>
      </c>
      <c r="AQ124" s="10">
        <f t="shared" si="170"/>
        <v>93.913773901827739</v>
      </c>
      <c r="AR124" s="10">
        <f t="shared" si="170"/>
        <v>98.293172684814522</v>
      </c>
      <c r="AS124" s="10">
        <f t="shared" si="170"/>
        <v>102.6725714678013</v>
      </c>
      <c r="AT124" s="10">
        <f t="shared" si="170"/>
        <v>107.05197025078809</v>
      </c>
      <c r="AU124" s="10">
        <f t="shared" si="170"/>
        <v>111.59356898870031</v>
      </c>
      <c r="AV124" s="10">
        <f t="shared" si="170"/>
        <v>116.13516772661252</v>
      </c>
      <c r="AW124" s="10">
        <f t="shared" si="170"/>
        <v>120.67676646452475</v>
      </c>
      <c r="AX124" s="10">
        <f t="shared" si="170"/>
        <v>125.21836520243696</v>
      </c>
      <c r="AY124" s="10">
        <f t="shared" si="170"/>
        <v>129.75996394034919</v>
      </c>
      <c r="AZ124" s="10">
        <f t="shared" si="170"/>
        <v>129.75996394034919</v>
      </c>
      <c r="BA124" s="10">
        <f t="shared" si="170"/>
        <v>129.75996394034919</v>
      </c>
      <c r="BB124" s="10">
        <f t="shared" si="170"/>
        <v>129.75996394034919</v>
      </c>
      <c r="BC124" s="10">
        <f t="shared" si="170"/>
        <v>129.75996394034919</v>
      </c>
      <c r="BD124" s="10">
        <f t="shared" si="170"/>
        <v>129.75996394034919</v>
      </c>
      <c r="BE124" s="10">
        <f t="shared" si="170"/>
        <v>129.75996394034919</v>
      </c>
      <c r="BF124" s="10">
        <f t="shared" si="170"/>
        <v>129.75996394034919</v>
      </c>
      <c r="BG124" s="10">
        <f t="shared" si="170"/>
        <v>129.75996394034919</v>
      </c>
      <c r="BH124" s="10">
        <f t="shared" si="170"/>
        <v>129.75996394034919</v>
      </c>
      <c r="BI124" s="10">
        <f t="shared" si="170"/>
        <v>129.75996394034919</v>
      </c>
    </row>
    <row r="125" spans="1:61" ht="30">
      <c r="A125" s="8" t="str">
        <f>A119</f>
        <v>Kontenerowe 
(1000t - 21 wagonów)</v>
      </c>
      <c r="B125" s="129" t="s">
        <v>48</v>
      </c>
      <c r="C125" s="13"/>
      <c r="D125" s="13"/>
      <c r="E125" s="13"/>
      <c r="F125" s="13"/>
      <c r="G125" s="13"/>
      <c r="H125" s="13"/>
      <c r="I125" s="13"/>
      <c r="J125" s="13"/>
      <c r="K125" s="13"/>
      <c r="L125" s="13"/>
      <c r="M125" s="13"/>
      <c r="N125" s="13"/>
      <c r="O125" s="13"/>
      <c r="P125" s="13"/>
      <c r="Q125" s="93"/>
      <c r="R125" s="93"/>
      <c r="S125" s="93"/>
      <c r="T125" s="10">
        <f t="shared" ref="T125:BI125" si="171">T$9*(T$93*10^-6)</f>
        <v>11.940361113239231</v>
      </c>
      <c r="U125" s="10">
        <f t="shared" si="171"/>
        <v>12.346333391089363</v>
      </c>
      <c r="V125" s="10">
        <f t="shared" si="171"/>
        <v>15.73339562776734</v>
      </c>
      <c r="W125" s="10">
        <f t="shared" si="171"/>
        <v>18.490794861499761</v>
      </c>
      <c r="X125" s="10">
        <f t="shared" si="171"/>
        <v>21.248194095232179</v>
      </c>
      <c r="Y125" s="10">
        <f t="shared" si="171"/>
        <v>24.005593328964601</v>
      </c>
      <c r="Z125" s="10">
        <f t="shared" si="171"/>
        <v>26.762992562697022</v>
      </c>
      <c r="AA125" s="10">
        <f t="shared" si="171"/>
        <v>29.520391796429443</v>
      </c>
      <c r="AB125" s="10">
        <f t="shared" si="171"/>
        <v>32.277791030161865</v>
      </c>
      <c r="AC125" s="10">
        <f t="shared" si="171"/>
        <v>35.035190263894286</v>
      </c>
      <c r="AD125" s="10">
        <f t="shared" si="171"/>
        <v>37.7925894976267</v>
      </c>
      <c r="AE125" s="10">
        <f t="shared" si="171"/>
        <v>40.549988731359129</v>
      </c>
      <c r="AF125" s="10">
        <f t="shared" si="171"/>
        <v>45.091587469271346</v>
      </c>
      <c r="AG125" s="10">
        <f t="shared" si="171"/>
        <v>49.63318620718357</v>
      </c>
      <c r="AH125" s="10">
        <f t="shared" si="171"/>
        <v>54.174784945095794</v>
      </c>
      <c r="AI125" s="10">
        <f t="shared" si="171"/>
        <v>58.716383683008011</v>
      </c>
      <c r="AJ125" s="10">
        <f t="shared" si="171"/>
        <v>63.257982420920229</v>
      </c>
      <c r="AK125" s="10">
        <f t="shared" si="171"/>
        <v>67.637381203907012</v>
      </c>
      <c r="AL125" s="10">
        <f t="shared" si="171"/>
        <v>72.016779986893795</v>
      </c>
      <c r="AM125" s="10">
        <f t="shared" si="171"/>
        <v>76.396178769880578</v>
      </c>
      <c r="AN125" s="10">
        <f t="shared" si="171"/>
        <v>80.775577552867361</v>
      </c>
      <c r="AO125" s="10">
        <f t="shared" si="171"/>
        <v>85.154976335854144</v>
      </c>
      <c r="AP125" s="10">
        <f t="shared" si="171"/>
        <v>89.534375118840941</v>
      </c>
      <c r="AQ125" s="10">
        <f t="shared" si="171"/>
        <v>93.913773901827739</v>
      </c>
      <c r="AR125" s="10">
        <f t="shared" si="171"/>
        <v>98.293172684814522</v>
      </c>
      <c r="AS125" s="10">
        <f t="shared" si="171"/>
        <v>102.6725714678013</v>
      </c>
      <c r="AT125" s="10">
        <f t="shared" si="171"/>
        <v>107.05197025078809</v>
      </c>
      <c r="AU125" s="10">
        <f t="shared" si="171"/>
        <v>111.59356898870031</v>
      </c>
      <c r="AV125" s="10">
        <f t="shared" si="171"/>
        <v>116.13516772661252</v>
      </c>
      <c r="AW125" s="10">
        <f t="shared" si="171"/>
        <v>120.67676646452475</v>
      </c>
      <c r="AX125" s="10">
        <f t="shared" si="171"/>
        <v>125.21836520243696</v>
      </c>
      <c r="AY125" s="10">
        <f t="shared" si="171"/>
        <v>129.75996394034919</v>
      </c>
      <c r="AZ125" s="10">
        <f t="shared" si="171"/>
        <v>129.75996394034919</v>
      </c>
      <c r="BA125" s="10">
        <f t="shared" si="171"/>
        <v>129.75996394034919</v>
      </c>
      <c r="BB125" s="10">
        <f t="shared" si="171"/>
        <v>129.75996394034919</v>
      </c>
      <c r="BC125" s="10">
        <f t="shared" si="171"/>
        <v>129.75996394034919</v>
      </c>
      <c r="BD125" s="10">
        <f t="shared" si="171"/>
        <v>129.75996394034919</v>
      </c>
      <c r="BE125" s="10">
        <f t="shared" si="171"/>
        <v>129.75996394034919</v>
      </c>
      <c r="BF125" s="10">
        <f t="shared" si="171"/>
        <v>129.75996394034919</v>
      </c>
      <c r="BG125" s="10">
        <f t="shared" si="171"/>
        <v>129.75996394034919</v>
      </c>
      <c r="BH125" s="10">
        <f t="shared" si="171"/>
        <v>129.75996394034919</v>
      </c>
      <c r="BI125" s="10">
        <f t="shared" si="171"/>
        <v>129.75996394034919</v>
      </c>
    </row>
    <row r="126" spans="1:61">
      <c r="A126" s="742" t="s">
        <v>727</v>
      </c>
      <c r="B126" s="742"/>
      <c r="C126" s="742"/>
      <c r="D126" s="742"/>
      <c r="E126" s="742"/>
      <c r="F126" s="742"/>
      <c r="G126" s="742"/>
      <c r="H126" s="742"/>
      <c r="I126" s="742"/>
      <c r="J126" s="742"/>
      <c r="K126" s="742"/>
      <c r="L126" s="742"/>
      <c r="M126" s="742"/>
      <c r="N126" s="742"/>
      <c r="O126" s="742"/>
      <c r="P126" s="742"/>
      <c r="Q126" s="742"/>
      <c r="R126" s="742"/>
      <c r="S126" s="742"/>
      <c r="T126" s="742"/>
      <c r="U126" s="742"/>
      <c r="V126" s="742"/>
    </row>
    <row r="127" spans="1:61" s="690" customFormat="1">
      <c r="A127" s="715"/>
      <c r="B127" s="715"/>
      <c r="C127" s="715"/>
      <c r="D127" s="715"/>
      <c r="E127" s="715"/>
      <c r="F127" s="715"/>
      <c r="G127" s="715"/>
      <c r="H127" s="715"/>
      <c r="I127" s="715"/>
      <c r="J127" s="715"/>
      <c r="K127" s="715"/>
      <c r="L127" s="715"/>
      <c r="M127" s="715"/>
      <c r="N127" s="715"/>
      <c r="O127" s="715"/>
      <c r="P127" s="715"/>
      <c r="Q127" s="715"/>
      <c r="R127" s="715"/>
      <c r="S127" s="715"/>
      <c r="T127" s="715"/>
      <c r="U127" s="715"/>
      <c r="V127" s="715"/>
    </row>
    <row r="128" spans="1:61"/>
    <row r="129" spans="1:16" s="613" customFormat="1"/>
    <row r="130" spans="1:16"/>
    <row r="131" spans="1:16" ht="18">
      <c r="A131" s="132" t="s">
        <v>728</v>
      </c>
      <c r="B131" s="132"/>
    </row>
    <row r="132" spans="1:16" hidden="1" outlineLevel="1"/>
    <row r="133" spans="1:16" hidden="1" outlineLevel="1">
      <c r="A133" s="619" t="s">
        <v>492</v>
      </c>
      <c r="B133" s="195"/>
      <c r="C133" s="195"/>
      <c r="D133" s="195"/>
      <c r="E133" s="195"/>
      <c r="F133" s="195"/>
      <c r="G133" s="195"/>
      <c r="H133" s="195"/>
      <c r="I133" s="195"/>
      <c r="J133" s="195"/>
      <c r="K133" s="195"/>
      <c r="L133" s="195"/>
      <c r="M133" s="195"/>
      <c r="N133" s="195"/>
      <c r="O133" s="195"/>
      <c r="P133" s="195"/>
    </row>
    <row r="134" spans="1:16" ht="15.75" hidden="1" outlineLevel="1" thickBot="1">
      <c r="A134" s="620" t="s">
        <v>493</v>
      </c>
      <c r="B134" s="621" t="s">
        <v>405</v>
      </c>
      <c r="C134" s="621"/>
      <c r="D134" s="621"/>
      <c r="E134" s="621"/>
      <c r="F134" s="621"/>
      <c r="G134" s="621"/>
      <c r="H134" s="621"/>
      <c r="I134" s="621"/>
      <c r="J134" s="621"/>
      <c r="K134" s="621"/>
      <c r="L134" s="621"/>
      <c r="M134" s="621"/>
      <c r="N134" s="621"/>
      <c r="O134" s="621"/>
      <c r="P134" s="621"/>
    </row>
    <row r="135" spans="1:16" hidden="1" outlineLevel="1">
      <c r="A135" s="645" t="s">
        <v>494</v>
      </c>
      <c r="B135" s="790" t="s">
        <v>495</v>
      </c>
      <c r="C135" s="195"/>
      <c r="D135" s="195"/>
      <c r="E135" s="195"/>
      <c r="F135" s="195"/>
      <c r="G135" s="195"/>
      <c r="H135" s="195"/>
      <c r="I135" s="195"/>
      <c r="J135" s="195"/>
      <c r="K135" s="195"/>
      <c r="L135" s="195"/>
      <c r="M135" s="195"/>
      <c r="N135" s="195"/>
      <c r="O135" s="195"/>
      <c r="P135" s="591">
        <v>119</v>
      </c>
    </row>
    <row r="136" spans="1:16" hidden="1" outlineLevel="1">
      <c r="A136" s="645" t="s">
        <v>496</v>
      </c>
      <c r="B136" s="791"/>
      <c r="C136" s="195"/>
      <c r="D136" s="195"/>
      <c r="E136" s="195"/>
      <c r="F136" s="195"/>
      <c r="G136" s="195"/>
      <c r="H136" s="195"/>
      <c r="I136" s="195"/>
      <c r="J136" s="195"/>
      <c r="K136" s="195"/>
      <c r="L136" s="195"/>
      <c r="M136" s="195"/>
      <c r="N136" s="195"/>
      <c r="O136" s="195"/>
      <c r="P136" s="591">
        <v>119</v>
      </c>
    </row>
    <row r="137" spans="1:16" hidden="1" outlineLevel="1">
      <c r="A137" s="645" t="s">
        <v>497</v>
      </c>
      <c r="B137" s="791"/>
      <c r="C137" s="195"/>
      <c r="D137" s="195"/>
      <c r="E137" s="195"/>
      <c r="F137" s="195"/>
      <c r="G137" s="195"/>
      <c r="H137" s="195"/>
      <c r="I137" s="195"/>
      <c r="J137" s="195"/>
      <c r="K137" s="195"/>
      <c r="L137" s="195"/>
      <c r="M137" s="195"/>
      <c r="N137" s="195"/>
      <c r="O137" s="195"/>
      <c r="P137" s="591">
        <v>132</v>
      </c>
    </row>
    <row r="138" spans="1:16" hidden="1" outlineLevel="1">
      <c r="A138" s="623" t="s">
        <v>290</v>
      </c>
      <c r="B138" s="792"/>
      <c r="C138" s="624"/>
      <c r="D138" s="624"/>
      <c r="E138" s="624"/>
      <c r="F138" s="624"/>
      <c r="G138" s="624"/>
      <c r="H138" s="624"/>
      <c r="I138" s="624"/>
      <c r="J138" s="624"/>
      <c r="K138" s="624"/>
      <c r="L138" s="624"/>
      <c r="M138" s="624"/>
      <c r="N138" s="624"/>
      <c r="O138" s="624"/>
      <c r="P138" s="653">
        <v>61</v>
      </c>
    </row>
    <row r="139" spans="1:16" hidden="1" outlineLevel="1">
      <c r="A139" s="626" t="s">
        <v>730</v>
      </c>
      <c r="B139" s="195"/>
      <c r="C139" s="195"/>
      <c r="D139" s="195"/>
      <c r="E139" s="195"/>
      <c r="F139" s="195"/>
      <c r="G139" s="195"/>
      <c r="H139" s="195"/>
      <c r="I139" s="195"/>
      <c r="J139" s="195"/>
      <c r="K139" s="195"/>
      <c r="L139" s="195"/>
      <c r="M139" s="195"/>
      <c r="N139" s="195"/>
      <c r="O139" s="195"/>
      <c r="P139" s="195"/>
    </row>
    <row r="140" spans="1:16" hidden="1" outlineLevel="1">
      <c r="A140" s="195"/>
      <c r="B140" s="195"/>
      <c r="C140" s="195"/>
      <c r="D140" s="195"/>
      <c r="E140" s="195"/>
      <c r="F140" s="195"/>
      <c r="G140" s="195"/>
      <c r="H140" s="195"/>
      <c r="I140" s="195"/>
      <c r="J140" s="195"/>
      <c r="K140" s="195"/>
      <c r="L140" s="195"/>
      <c r="M140" s="195"/>
      <c r="N140" s="195"/>
      <c r="O140" s="195"/>
      <c r="P140" s="195"/>
    </row>
    <row r="141" spans="1:16" hidden="1" outlineLevel="1">
      <c r="A141" s="195" t="s">
        <v>498</v>
      </c>
      <c r="B141" s="654">
        <f>B142/(B143*B144)</f>
        <v>2.7777777777777778E-4</v>
      </c>
      <c r="C141" s="195"/>
      <c r="D141" s="195"/>
      <c r="E141" s="195"/>
      <c r="F141" s="195"/>
      <c r="G141" s="195"/>
      <c r="H141" s="195"/>
      <c r="I141" s="195"/>
      <c r="J141" s="195"/>
      <c r="K141" s="195"/>
      <c r="L141" s="195"/>
      <c r="M141" s="195"/>
      <c r="N141" s="195"/>
      <c r="O141" s="195"/>
      <c r="P141" s="195"/>
    </row>
    <row r="142" spans="1:16" hidden="1" outlineLevel="1">
      <c r="A142" s="195"/>
      <c r="B142" s="591">
        <f>10^3</f>
        <v>1000</v>
      </c>
      <c r="C142" s="195"/>
      <c r="D142" s="195"/>
      <c r="E142" s="195"/>
      <c r="F142" s="195"/>
      <c r="G142" s="195"/>
      <c r="H142" s="195"/>
      <c r="I142" s="195"/>
      <c r="J142" s="195"/>
      <c r="K142" s="195"/>
      <c r="L142" s="195"/>
      <c r="M142" s="195"/>
      <c r="N142" s="195"/>
      <c r="O142" s="195"/>
      <c r="P142" s="195" t="s">
        <v>499</v>
      </c>
    </row>
    <row r="143" spans="1:16" hidden="1" outlineLevel="1">
      <c r="A143" s="195"/>
      <c r="B143" s="591">
        <f>10^3</f>
        <v>1000</v>
      </c>
      <c r="C143" s="195"/>
      <c r="D143" s="195"/>
      <c r="E143" s="195"/>
      <c r="F143" s="195"/>
      <c r="G143" s="195"/>
      <c r="H143" s="195"/>
      <c r="I143" s="195"/>
      <c r="J143" s="195"/>
      <c r="K143" s="195"/>
      <c r="L143" s="195"/>
      <c r="M143" s="195"/>
      <c r="N143" s="195"/>
      <c r="O143" s="195"/>
      <c r="P143" s="195" t="s">
        <v>63</v>
      </c>
    </row>
    <row r="144" spans="1:16" hidden="1" outlineLevel="1">
      <c r="A144" s="195"/>
      <c r="B144" s="591">
        <f>(60*60)</f>
        <v>3600</v>
      </c>
      <c r="C144" s="195"/>
      <c r="D144" s="195"/>
      <c r="E144" s="195"/>
      <c r="F144" s="195"/>
      <c r="G144" s="195"/>
      <c r="H144" s="195"/>
      <c r="I144" s="195"/>
      <c r="J144" s="195"/>
      <c r="K144" s="195"/>
      <c r="L144" s="195"/>
      <c r="M144" s="195"/>
      <c r="N144" s="195"/>
      <c r="O144" s="195"/>
      <c r="P144" s="195" t="s">
        <v>64</v>
      </c>
    </row>
    <row r="145" spans="1:61" hidden="1" outlineLevel="1">
      <c r="A145" s="195"/>
      <c r="B145" s="195"/>
      <c r="C145" s="195"/>
      <c r="D145" s="195"/>
      <c r="E145" s="195"/>
      <c r="F145" s="195"/>
      <c r="G145" s="195"/>
      <c r="H145" s="195"/>
      <c r="I145" s="195"/>
      <c r="J145" s="195"/>
      <c r="K145" s="195"/>
      <c r="L145" s="195"/>
      <c r="M145" s="195"/>
      <c r="N145" s="195"/>
      <c r="O145" s="195"/>
      <c r="P145" s="195"/>
    </row>
    <row r="146" spans="1:61" s="613" customFormat="1" hidden="1" outlineLevel="1">
      <c r="A146" s="619" t="s">
        <v>501</v>
      </c>
      <c r="B146" s="195"/>
      <c r="C146" s="195"/>
      <c r="D146" s="195"/>
      <c r="E146" s="195"/>
      <c r="F146" s="195"/>
      <c r="G146" s="195"/>
      <c r="H146" s="195"/>
      <c r="I146" s="195"/>
      <c r="J146" s="195"/>
      <c r="K146" s="195"/>
      <c r="L146" s="195"/>
      <c r="M146" s="195"/>
      <c r="N146" s="195"/>
      <c r="O146" s="195"/>
      <c r="P146" s="195"/>
    </row>
    <row r="147" spans="1:61" s="613" customFormat="1" ht="15.75" hidden="1" outlineLevel="1" thickBot="1">
      <c r="A147" s="620" t="s">
        <v>502</v>
      </c>
      <c r="B147" s="621" t="s">
        <v>405</v>
      </c>
      <c r="C147" s="621"/>
      <c r="D147" s="621"/>
      <c r="E147" s="621"/>
      <c r="F147" s="621"/>
      <c r="G147" s="621"/>
      <c r="H147" s="621"/>
      <c r="I147" s="621"/>
      <c r="J147" s="621"/>
      <c r="K147" s="621"/>
      <c r="L147" s="621"/>
      <c r="M147" s="621"/>
      <c r="N147" s="621"/>
      <c r="O147" s="621"/>
      <c r="P147" s="621"/>
    </row>
    <row r="148" spans="1:61" s="613" customFormat="1" ht="18" hidden="1" customHeight="1" outlineLevel="1">
      <c r="A148" s="645" t="s">
        <v>494</v>
      </c>
      <c r="B148" s="790" t="s">
        <v>731</v>
      </c>
      <c r="C148" s="195"/>
      <c r="D148" s="195"/>
      <c r="E148" s="195"/>
      <c r="F148" s="195"/>
      <c r="G148" s="195"/>
      <c r="H148" s="195"/>
      <c r="I148" s="195"/>
      <c r="J148" s="195"/>
      <c r="K148" s="195"/>
      <c r="L148" s="195"/>
      <c r="M148" s="195"/>
      <c r="N148" s="195"/>
      <c r="O148" s="195"/>
      <c r="P148" s="655">
        <v>91.456000000000003</v>
      </c>
    </row>
    <row r="149" spans="1:61" s="613" customFormat="1" hidden="1" outlineLevel="1">
      <c r="A149" s="645" t="s">
        <v>496</v>
      </c>
      <c r="B149" s="791"/>
      <c r="C149" s="195"/>
      <c r="D149" s="195"/>
      <c r="E149" s="195"/>
      <c r="F149" s="195"/>
      <c r="G149" s="195"/>
      <c r="H149" s="195"/>
      <c r="I149" s="195"/>
      <c r="J149" s="195"/>
      <c r="K149" s="195"/>
      <c r="L149" s="195"/>
      <c r="M149" s="195"/>
      <c r="N149" s="195"/>
      <c r="O149" s="195"/>
      <c r="P149" s="655">
        <v>91.456000000000003</v>
      </c>
    </row>
    <row r="150" spans="1:61" s="613" customFormat="1" hidden="1" outlineLevel="1">
      <c r="A150" s="645" t="s">
        <v>497</v>
      </c>
      <c r="B150" s="791"/>
      <c r="C150" s="195"/>
      <c r="D150" s="195"/>
      <c r="E150" s="195"/>
      <c r="F150" s="195"/>
      <c r="G150" s="195"/>
      <c r="H150" s="195"/>
      <c r="I150" s="195"/>
      <c r="J150" s="195"/>
      <c r="K150" s="195"/>
      <c r="L150" s="195"/>
      <c r="M150" s="195"/>
      <c r="N150" s="195"/>
      <c r="O150" s="195"/>
      <c r="P150" s="655">
        <v>90.917000000000002</v>
      </c>
    </row>
    <row r="151" spans="1:61" s="613" customFormat="1" hidden="1" outlineLevel="1">
      <c r="A151" s="623" t="s">
        <v>290</v>
      </c>
      <c r="B151" s="792"/>
      <c r="C151" s="624"/>
      <c r="D151" s="624"/>
      <c r="E151" s="624"/>
      <c r="F151" s="624"/>
      <c r="G151" s="624"/>
      <c r="H151" s="624"/>
      <c r="I151" s="624"/>
      <c r="J151" s="624"/>
      <c r="K151" s="624"/>
      <c r="L151" s="624"/>
      <c r="M151" s="624"/>
      <c r="N151" s="624"/>
      <c r="O151" s="624"/>
      <c r="P151" s="656">
        <v>31.4436</v>
      </c>
    </row>
    <row r="152" spans="1:61" s="613" customFormat="1" hidden="1" outlineLevel="1">
      <c r="A152" s="626" t="s">
        <v>732</v>
      </c>
      <c r="B152" s="195"/>
      <c r="C152" s="195"/>
      <c r="D152" s="195"/>
      <c r="E152" s="195"/>
      <c r="F152" s="195"/>
      <c r="G152" s="195"/>
      <c r="H152" s="195"/>
      <c r="I152" s="195"/>
      <c r="J152" s="195"/>
      <c r="K152" s="195"/>
      <c r="L152" s="195"/>
      <c r="M152" s="195"/>
      <c r="N152" s="195"/>
      <c r="O152" s="195"/>
      <c r="P152" s="195"/>
    </row>
    <row r="153" spans="1:61" hidden="1" outlineLevel="1"/>
    <row r="154" spans="1:61" collapsed="1"/>
    <row r="155" spans="1:61" ht="18">
      <c r="A155" s="1" t="s">
        <v>729</v>
      </c>
    </row>
    <row r="156" spans="1:61" s="613" customFormat="1" ht="30" customHeight="1">
      <c r="A156" s="783" t="s">
        <v>493</v>
      </c>
      <c r="B156" s="647"/>
      <c r="C156" s="647"/>
      <c r="D156" s="647"/>
      <c r="E156" s="647"/>
      <c r="F156" s="647"/>
      <c r="G156" s="647"/>
      <c r="H156" s="647"/>
      <c r="I156" s="647"/>
      <c r="J156" s="647"/>
      <c r="K156" s="647"/>
      <c r="L156" s="647"/>
      <c r="M156" s="647"/>
      <c r="N156" s="647"/>
      <c r="O156" s="647"/>
      <c r="P156" s="783" t="s">
        <v>500</v>
      </c>
      <c r="Q156" s="647"/>
      <c r="R156" s="647"/>
      <c r="S156" s="647" t="s">
        <v>733</v>
      </c>
      <c r="T156" s="647"/>
      <c r="U156" s="647"/>
      <c r="V156" s="647"/>
      <c r="W156" s="647"/>
      <c r="X156" s="647"/>
      <c r="Y156" s="647"/>
      <c r="Z156" s="647"/>
      <c r="AA156" s="647"/>
      <c r="AB156" s="647"/>
      <c r="AC156" s="647"/>
      <c r="AD156" s="647"/>
      <c r="AE156" s="647"/>
      <c r="AF156" s="647"/>
      <c r="AG156" s="647"/>
      <c r="AH156" s="647"/>
      <c r="AI156" s="647"/>
      <c r="AJ156" s="647"/>
      <c r="AK156" s="647"/>
      <c r="AL156" s="647"/>
      <c r="AM156" s="647"/>
      <c r="AN156" s="647"/>
      <c r="AO156" s="647"/>
      <c r="AP156" s="647"/>
      <c r="AQ156" s="647"/>
      <c r="AR156" s="647"/>
      <c r="AS156" s="647"/>
      <c r="AT156" s="647"/>
      <c r="AU156" s="647"/>
      <c r="AV156" s="647"/>
      <c r="AW156" s="647"/>
      <c r="AX156" s="647"/>
      <c r="AY156" s="647"/>
      <c r="AZ156" s="647"/>
      <c r="BA156" s="647"/>
      <c r="BB156" s="647"/>
      <c r="BC156" s="647"/>
      <c r="BD156" s="647"/>
      <c r="BE156" s="647"/>
      <c r="BF156" s="647"/>
      <c r="BG156" s="647"/>
      <c r="BH156" s="647"/>
      <c r="BI156" s="647"/>
    </row>
    <row r="157" spans="1:61" ht="30" customHeight="1" thickBot="1">
      <c r="A157" s="784"/>
      <c r="B157" s="646"/>
      <c r="C157" s="646"/>
      <c r="D157" s="646"/>
      <c r="E157" s="646"/>
      <c r="F157" s="646"/>
      <c r="G157" s="646"/>
      <c r="H157" s="646"/>
      <c r="I157" s="646"/>
      <c r="J157" s="646"/>
      <c r="K157" s="646"/>
      <c r="L157" s="646"/>
      <c r="M157" s="646"/>
      <c r="N157" s="646"/>
      <c r="O157" s="646"/>
      <c r="P157" s="784"/>
      <c r="Q157" s="646"/>
      <c r="R157" s="646"/>
      <c r="S157" s="646">
        <v>2019</v>
      </c>
      <c r="T157" s="646">
        <f>S157+1</f>
        <v>2020</v>
      </c>
      <c r="U157" s="646">
        <f t="shared" ref="U157" si="172">T157+1</f>
        <v>2021</v>
      </c>
      <c r="V157" s="646">
        <f t="shared" ref="V157" si="173">U157+1</f>
        <v>2022</v>
      </c>
      <c r="W157" s="646">
        <f t="shared" ref="W157" si="174">V157+1</f>
        <v>2023</v>
      </c>
      <c r="X157" s="646">
        <f t="shared" ref="X157" si="175">W157+1</f>
        <v>2024</v>
      </c>
      <c r="Y157" s="646">
        <f t="shared" ref="Y157" si="176">X157+1</f>
        <v>2025</v>
      </c>
      <c r="Z157" s="646">
        <f t="shared" ref="Z157" si="177">Y157+1</f>
        <v>2026</v>
      </c>
      <c r="AA157" s="646">
        <f t="shared" ref="AA157" si="178">Z157+1</f>
        <v>2027</v>
      </c>
      <c r="AB157" s="646">
        <f t="shared" ref="AB157" si="179">AA157+1</f>
        <v>2028</v>
      </c>
      <c r="AC157" s="646">
        <f t="shared" ref="AC157" si="180">AB157+1</f>
        <v>2029</v>
      </c>
      <c r="AD157" s="646">
        <f t="shared" ref="AD157" si="181">AC157+1</f>
        <v>2030</v>
      </c>
      <c r="AE157" s="646">
        <f t="shared" ref="AE157" si="182">AD157+1</f>
        <v>2031</v>
      </c>
      <c r="AF157" s="646">
        <f t="shared" ref="AF157" si="183">AE157+1</f>
        <v>2032</v>
      </c>
      <c r="AG157" s="646">
        <f t="shared" ref="AG157" si="184">AF157+1</f>
        <v>2033</v>
      </c>
      <c r="AH157" s="646">
        <f t="shared" ref="AH157" si="185">AG157+1</f>
        <v>2034</v>
      </c>
      <c r="AI157" s="646">
        <f t="shared" ref="AI157" si="186">AH157+1</f>
        <v>2035</v>
      </c>
      <c r="AJ157" s="646">
        <f t="shared" ref="AJ157" si="187">AI157+1</f>
        <v>2036</v>
      </c>
      <c r="AK157" s="646">
        <f t="shared" ref="AK157" si="188">AJ157+1</f>
        <v>2037</v>
      </c>
      <c r="AL157" s="646">
        <f t="shared" ref="AL157" si="189">AK157+1</f>
        <v>2038</v>
      </c>
      <c r="AM157" s="646">
        <f t="shared" ref="AM157" si="190">AL157+1</f>
        <v>2039</v>
      </c>
      <c r="AN157" s="646">
        <f t="shared" ref="AN157" si="191">AM157+1</f>
        <v>2040</v>
      </c>
      <c r="AO157" s="646">
        <f t="shared" ref="AO157" si="192">AN157+1</f>
        <v>2041</v>
      </c>
      <c r="AP157" s="646">
        <f t="shared" ref="AP157" si="193">AO157+1</f>
        <v>2042</v>
      </c>
      <c r="AQ157" s="646">
        <f t="shared" ref="AQ157" si="194">AP157+1</f>
        <v>2043</v>
      </c>
      <c r="AR157" s="646">
        <f t="shared" ref="AR157" si="195">AQ157+1</f>
        <v>2044</v>
      </c>
      <c r="AS157" s="646">
        <f t="shared" ref="AS157" si="196">AR157+1</f>
        <v>2045</v>
      </c>
      <c r="AT157" s="646">
        <f t="shared" ref="AT157" si="197">AS157+1</f>
        <v>2046</v>
      </c>
      <c r="AU157" s="646">
        <f t="shared" ref="AU157" si="198">AT157+1</f>
        <v>2047</v>
      </c>
      <c r="AV157" s="646">
        <f t="shared" ref="AV157" si="199">AU157+1</f>
        <v>2048</v>
      </c>
      <c r="AW157" s="646">
        <f t="shared" ref="AW157" si="200">AV157+1</f>
        <v>2049</v>
      </c>
      <c r="AX157" s="646">
        <f t="shared" ref="AX157" si="201">AW157+1</f>
        <v>2050</v>
      </c>
      <c r="AY157" s="646">
        <f t="shared" ref="AY157" si="202">AX157+1</f>
        <v>2051</v>
      </c>
      <c r="AZ157" s="646">
        <f t="shared" ref="AZ157" si="203">AY157+1</f>
        <v>2052</v>
      </c>
      <c r="BA157" s="646">
        <f t="shared" ref="BA157" si="204">AZ157+1</f>
        <v>2053</v>
      </c>
      <c r="BB157" s="646">
        <f t="shared" ref="BB157" si="205">BA157+1</f>
        <v>2054</v>
      </c>
      <c r="BC157" s="646">
        <f t="shared" ref="BC157" si="206">BB157+1</f>
        <v>2055</v>
      </c>
      <c r="BD157" s="646">
        <f t="shared" ref="BD157" si="207">BC157+1</f>
        <v>2056</v>
      </c>
      <c r="BE157" s="646">
        <f t="shared" ref="BE157" si="208">BD157+1</f>
        <v>2057</v>
      </c>
      <c r="BF157" s="646">
        <f t="shared" ref="BF157" si="209">BE157+1</f>
        <v>2058</v>
      </c>
      <c r="BG157" s="646">
        <f t="shared" ref="BG157" si="210">BF157+1</f>
        <v>2059</v>
      </c>
      <c r="BH157" s="646">
        <f t="shared" ref="BH157" si="211">BG157+1</f>
        <v>2060</v>
      </c>
      <c r="BI157" s="646">
        <f t="shared" ref="BI157" si="212">BH157+1</f>
        <v>2061</v>
      </c>
    </row>
    <row r="158" spans="1:61">
      <c r="A158" s="195" t="s">
        <v>494</v>
      </c>
      <c r="B158" s="195"/>
      <c r="C158" s="195"/>
      <c r="D158" s="195"/>
      <c r="E158" s="195"/>
      <c r="F158" s="195"/>
      <c r="G158" s="195"/>
      <c r="H158" s="195"/>
      <c r="I158" s="195"/>
      <c r="J158" s="195"/>
      <c r="K158" s="195"/>
      <c r="L158" s="195"/>
      <c r="M158" s="195"/>
      <c r="N158" s="195"/>
      <c r="O158" s="195"/>
      <c r="P158" s="657">
        <f>P135*$B$141</f>
        <v>3.3055555555555553E-2</v>
      </c>
      <c r="Q158" s="616"/>
      <c r="R158" s="616"/>
      <c r="S158" s="616">
        <f>$P158*S$35</f>
        <v>23.766944444444444</v>
      </c>
      <c r="T158" s="616">
        <f t="shared" ref="T158:BI161" si="213">$P158*T$35</f>
        <v>22.294644896005796</v>
      </c>
      <c r="U158" s="616">
        <f t="shared" si="213"/>
        <v>22.103620203021375</v>
      </c>
      <c r="V158" s="616">
        <f t="shared" si="213"/>
        <v>21.912595510036958</v>
      </c>
      <c r="W158" s="616">
        <f t="shared" si="213"/>
        <v>21.721570817052537</v>
      </c>
      <c r="X158" s="616">
        <f t="shared" si="213"/>
        <v>21.530546124068117</v>
      </c>
      <c r="Y158" s="616">
        <f t="shared" si="213"/>
        <v>21.339521431083693</v>
      </c>
      <c r="Z158" s="616">
        <f t="shared" si="213"/>
        <v>20.899761417478796</v>
      </c>
      <c r="AA158" s="616">
        <f t="shared" si="213"/>
        <v>20.460001403873896</v>
      </c>
      <c r="AB158" s="616">
        <f t="shared" si="213"/>
        <v>20.020241390269</v>
      </c>
      <c r="AC158" s="616">
        <f t="shared" si="213"/>
        <v>19.580481376664103</v>
      </c>
      <c r="AD158" s="616">
        <f t="shared" si="213"/>
        <v>19.1407213630592</v>
      </c>
      <c r="AE158" s="616">
        <f t="shared" si="213"/>
        <v>18.263755854581969</v>
      </c>
      <c r="AF158" s="616">
        <f t="shared" si="213"/>
        <v>17.386790346104739</v>
      </c>
      <c r="AG158" s="616">
        <f t="shared" si="213"/>
        <v>16.509824837627505</v>
      </c>
      <c r="AH158" s="616">
        <f t="shared" si="213"/>
        <v>15.632859329150275</v>
      </c>
      <c r="AI158" s="616">
        <f t="shared" si="213"/>
        <v>14.755893820673045</v>
      </c>
      <c r="AJ158" s="616">
        <f t="shared" si="213"/>
        <v>14.272709932696733</v>
      </c>
      <c r="AK158" s="616">
        <f t="shared" si="213"/>
        <v>13.789526044720422</v>
      </c>
      <c r="AL158" s="616">
        <f t="shared" si="213"/>
        <v>13.30634215674411</v>
      </c>
      <c r="AM158" s="616">
        <f t="shared" si="213"/>
        <v>12.8231582687678</v>
      </c>
      <c r="AN158" s="616">
        <f t="shared" si="213"/>
        <v>12.339974380791491</v>
      </c>
      <c r="AO158" s="616">
        <f t="shared" si="213"/>
        <v>12.339974380791491</v>
      </c>
      <c r="AP158" s="616">
        <f t="shared" si="213"/>
        <v>12.339974380791491</v>
      </c>
      <c r="AQ158" s="616">
        <f t="shared" si="213"/>
        <v>12.339974380791491</v>
      </c>
      <c r="AR158" s="616">
        <f t="shared" si="213"/>
        <v>12.339974380791491</v>
      </c>
      <c r="AS158" s="616">
        <f t="shared" si="213"/>
        <v>12.339974380791491</v>
      </c>
      <c r="AT158" s="616">
        <f t="shared" si="213"/>
        <v>12.339974380791491</v>
      </c>
      <c r="AU158" s="616">
        <f t="shared" si="213"/>
        <v>12.339974380791491</v>
      </c>
      <c r="AV158" s="616">
        <f t="shared" si="213"/>
        <v>12.339974380791491</v>
      </c>
      <c r="AW158" s="616">
        <f t="shared" si="213"/>
        <v>12.339974380791491</v>
      </c>
      <c r="AX158" s="616">
        <f t="shared" si="213"/>
        <v>12.339974380791491</v>
      </c>
      <c r="AY158" s="616">
        <f t="shared" si="213"/>
        <v>12.339974380791491</v>
      </c>
      <c r="AZ158" s="616">
        <f t="shared" si="213"/>
        <v>12.339974380791491</v>
      </c>
      <c r="BA158" s="616">
        <f t="shared" si="213"/>
        <v>12.339974380791491</v>
      </c>
      <c r="BB158" s="616">
        <f t="shared" si="213"/>
        <v>12.339974380791491</v>
      </c>
      <c r="BC158" s="616">
        <f t="shared" si="213"/>
        <v>12.339974380791491</v>
      </c>
      <c r="BD158" s="616">
        <f t="shared" si="213"/>
        <v>12.339974380791491</v>
      </c>
      <c r="BE158" s="616">
        <f t="shared" si="213"/>
        <v>12.339974380791491</v>
      </c>
      <c r="BF158" s="616">
        <f t="shared" si="213"/>
        <v>12.339974380791491</v>
      </c>
      <c r="BG158" s="616">
        <f t="shared" si="213"/>
        <v>12.339974380791491</v>
      </c>
      <c r="BH158" s="616">
        <f t="shared" si="213"/>
        <v>12.339974380791491</v>
      </c>
      <c r="BI158" s="616">
        <f t="shared" si="213"/>
        <v>12.339974380791491</v>
      </c>
    </row>
    <row r="159" spans="1:61">
      <c r="A159" s="195" t="s">
        <v>496</v>
      </c>
      <c r="B159" s="195"/>
      <c r="C159" s="195"/>
      <c r="D159" s="195"/>
      <c r="E159" s="195"/>
      <c r="F159" s="195"/>
      <c r="G159" s="195"/>
      <c r="H159" s="195"/>
      <c r="I159" s="195"/>
      <c r="J159" s="195"/>
      <c r="K159" s="195"/>
      <c r="L159" s="195"/>
      <c r="M159" s="195"/>
      <c r="N159" s="195"/>
      <c r="O159" s="195"/>
      <c r="P159" s="657">
        <f>P136*$B$141</f>
        <v>3.3055555555555553E-2</v>
      </c>
      <c r="Q159" s="616"/>
      <c r="R159" s="616"/>
      <c r="S159" s="616">
        <f t="shared" ref="S159:AH161" si="214">$P159*S$35</f>
        <v>23.766944444444444</v>
      </c>
      <c r="T159" s="616">
        <f t="shared" si="214"/>
        <v>22.294644896005796</v>
      </c>
      <c r="U159" s="616">
        <f t="shared" si="214"/>
        <v>22.103620203021375</v>
      </c>
      <c r="V159" s="616">
        <f t="shared" si="214"/>
        <v>21.912595510036958</v>
      </c>
      <c r="W159" s="616">
        <f t="shared" si="214"/>
        <v>21.721570817052537</v>
      </c>
      <c r="X159" s="616">
        <f t="shared" si="214"/>
        <v>21.530546124068117</v>
      </c>
      <c r="Y159" s="616">
        <f t="shared" si="214"/>
        <v>21.339521431083693</v>
      </c>
      <c r="Z159" s="616">
        <f t="shared" si="214"/>
        <v>20.899761417478796</v>
      </c>
      <c r="AA159" s="616">
        <f t="shared" si="214"/>
        <v>20.460001403873896</v>
      </c>
      <c r="AB159" s="616">
        <f t="shared" si="214"/>
        <v>20.020241390269</v>
      </c>
      <c r="AC159" s="616">
        <f t="shared" si="214"/>
        <v>19.580481376664103</v>
      </c>
      <c r="AD159" s="616">
        <f t="shared" si="214"/>
        <v>19.1407213630592</v>
      </c>
      <c r="AE159" s="616">
        <f t="shared" si="214"/>
        <v>18.263755854581969</v>
      </c>
      <c r="AF159" s="616">
        <f t="shared" si="214"/>
        <v>17.386790346104739</v>
      </c>
      <c r="AG159" s="616">
        <f t="shared" si="214"/>
        <v>16.509824837627505</v>
      </c>
      <c r="AH159" s="616">
        <f t="shared" si="214"/>
        <v>15.632859329150275</v>
      </c>
      <c r="AI159" s="616">
        <f t="shared" si="213"/>
        <v>14.755893820673045</v>
      </c>
      <c r="AJ159" s="616">
        <f t="shared" si="213"/>
        <v>14.272709932696733</v>
      </c>
      <c r="AK159" s="616">
        <f t="shared" si="213"/>
        <v>13.789526044720422</v>
      </c>
      <c r="AL159" s="616">
        <f t="shared" si="213"/>
        <v>13.30634215674411</v>
      </c>
      <c r="AM159" s="616">
        <f t="shared" si="213"/>
        <v>12.8231582687678</v>
      </c>
      <c r="AN159" s="616">
        <f t="shared" si="213"/>
        <v>12.339974380791491</v>
      </c>
      <c r="AO159" s="616">
        <f t="shared" si="213"/>
        <v>12.339974380791491</v>
      </c>
      <c r="AP159" s="616">
        <f t="shared" si="213"/>
        <v>12.339974380791491</v>
      </c>
      <c r="AQ159" s="616">
        <f t="shared" si="213"/>
        <v>12.339974380791491</v>
      </c>
      <c r="AR159" s="616">
        <f t="shared" si="213"/>
        <v>12.339974380791491</v>
      </c>
      <c r="AS159" s="616">
        <f t="shared" si="213"/>
        <v>12.339974380791491</v>
      </c>
      <c r="AT159" s="616">
        <f t="shared" si="213"/>
        <v>12.339974380791491</v>
      </c>
      <c r="AU159" s="616">
        <f t="shared" si="213"/>
        <v>12.339974380791491</v>
      </c>
      <c r="AV159" s="616">
        <f t="shared" si="213"/>
        <v>12.339974380791491</v>
      </c>
      <c r="AW159" s="616">
        <f t="shared" si="213"/>
        <v>12.339974380791491</v>
      </c>
      <c r="AX159" s="616">
        <f t="shared" si="213"/>
        <v>12.339974380791491</v>
      </c>
      <c r="AY159" s="616">
        <f t="shared" si="213"/>
        <v>12.339974380791491</v>
      </c>
      <c r="AZ159" s="616">
        <f t="shared" si="213"/>
        <v>12.339974380791491</v>
      </c>
      <c r="BA159" s="616">
        <f t="shared" si="213"/>
        <v>12.339974380791491</v>
      </c>
      <c r="BB159" s="616">
        <f t="shared" si="213"/>
        <v>12.339974380791491</v>
      </c>
      <c r="BC159" s="616">
        <f t="shared" si="213"/>
        <v>12.339974380791491</v>
      </c>
      <c r="BD159" s="616">
        <f t="shared" si="213"/>
        <v>12.339974380791491</v>
      </c>
      <c r="BE159" s="616">
        <f t="shared" si="213"/>
        <v>12.339974380791491</v>
      </c>
      <c r="BF159" s="616">
        <f t="shared" si="213"/>
        <v>12.339974380791491</v>
      </c>
      <c r="BG159" s="616">
        <f t="shared" si="213"/>
        <v>12.339974380791491</v>
      </c>
      <c r="BH159" s="616">
        <f t="shared" si="213"/>
        <v>12.339974380791491</v>
      </c>
      <c r="BI159" s="616">
        <f t="shared" si="213"/>
        <v>12.339974380791491</v>
      </c>
    </row>
    <row r="160" spans="1:61">
      <c r="A160" s="195" t="s">
        <v>497</v>
      </c>
      <c r="B160" s="195"/>
      <c r="C160" s="195"/>
      <c r="D160" s="195"/>
      <c r="E160" s="195"/>
      <c r="F160" s="195"/>
      <c r="G160" s="195"/>
      <c r="H160" s="195"/>
      <c r="I160" s="195"/>
      <c r="J160" s="195"/>
      <c r="K160" s="195"/>
      <c r="L160" s="195"/>
      <c r="M160" s="195"/>
      <c r="N160" s="195"/>
      <c r="O160" s="195"/>
      <c r="P160" s="657">
        <f>P137*$B$141</f>
        <v>3.6666666666666667E-2</v>
      </c>
      <c r="Q160" s="616"/>
      <c r="R160" s="616"/>
      <c r="S160" s="616">
        <f t="shared" si="214"/>
        <v>26.363333333333333</v>
      </c>
      <c r="T160" s="616">
        <f t="shared" si="213"/>
        <v>24.730194338426596</v>
      </c>
      <c r="U160" s="616">
        <f t="shared" si="213"/>
        <v>24.518301401670772</v>
      </c>
      <c r="V160" s="616">
        <f t="shared" si="213"/>
        <v>24.306408464914945</v>
      </c>
      <c r="W160" s="616">
        <f t="shared" si="213"/>
        <v>24.094515528159118</v>
      </c>
      <c r="X160" s="616">
        <f t="shared" si="213"/>
        <v>23.882622591403294</v>
      </c>
      <c r="Y160" s="616">
        <f t="shared" si="213"/>
        <v>23.670729654647459</v>
      </c>
      <c r="Z160" s="616">
        <f t="shared" si="213"/>
        <v>23.182928631152951</v>
      </c>
      <c r="AA160" s="616">
        <f t="shared" si="213"/>
        <v>22.695127607658442</v>
      </c>
      <c r="AB160" s="616">
        <f t="shared" si="213"/>
        <v>22.207326584163933</v>
      </c>
      <c r="AC160" s="616">
        <f t="shared" si="213"/>
        <v>21.719525560669425</v>
      </c>
      <c r="AD160" s="616">
        <f t="shared" si="213"/>
        <v>21.231724537174912</v>
      </c>
      <c r="AE160" s="616">
        <f t="shared" si="213"/>
        <v>20.258956073990085</v>
      </c>
      <c r="AF160" s="616">
        <f t="shared" si="213"/>
        <v>19.286187610805257</v>
      </c>
      <c r="AG160" s="616">
        <f t="shared" si="213"/>
        <v>18.313419147620429</v>
      </c>
      <c r="AH160" s="616">
        <f t="shared" si="213"/>
        <v>17.340650684435598</v>
      </c>
      <c r="AI160" s="616">
        <f t="shared" si="213"/>
        <v>16.367882221250774</v>
      </c>
      <c r="AJ160" s="616">
        <f t="shared" si="213"/>
        <v>15.831913538789655</v>
      </c>
      <c r="AK160" s="616">
        <f t="shared" si="213"/>
        <v>15.295944856328536</v>
      </c>
      <c r="AL160" s="616">
        <f t="shared" si="213"/>
        <v>14.759976173867418</v>
      </c>
      <c r="AM160" s="616">
        <f t="shared" si="213"/>
        <v>14.224007491406299</v>
      </c>
      <c r="AN160" s="616">
        <f t="shared" si="213"/>
        <v>13.688038808945183</v>
      </c>
      <c r="AO160" s="616">
        <f t="shared" si="213"/>
        <v>13.688038808945183</v>
      </c>
      <c r="AP160" s="616">
        <f t="shared" si="213"/>
        <v>13.688038808945183</v>
      </c>
      <c r="AQ160" s="616">
        <f t="shared" si="213"/>
        <v>13.688038808945183</v>
      </c>
      <c r="AR160" s="616">
        <f t="shared" si="213"/>
        <v>13.688038808945183</v>
      </c>
      <c r="AS160" s="616">
        <f t="shared" si="213"/>
        <v>13.688038808945183</v>
      </c>
      <c r="AT160" s="616">
        <f t="shared" si="213"/>
        <v>13.688038808945183</v>
      </c>
      <c r="AU160" s="616">
        <f t="shared" si="213"/>
        <v>13.688038808945183</v>
      </c>
      <c r="AV160" s="616">
        <f t="shared" si="213"/>
        <v>13.688038808945183</v>
      </c>
      <c r="AW160" s="616">
        <f t="shared" si="213"/>
        <v>13.688038808945183</v>
      </c>
      <c r="AX160" s="616">
        <f t="shared" si="213"/>
        <v>13.688038808945183</v>
      </c>
      <c r="AY160" s="616">
        <f t="shared" si="213"/>
        <v>13.688038808945183</v>
      </c>
      <c r="AZ160" s="616">
        <f t="shared" si="213"/>
        <v>13.688038808945183</v>
      </c>
      <c r="BA160" s="616">
        <f t="shared" si="213"/>
        <v>13.688038808945183</v>
      </c>
      <c r="BB160" s="616">
        <f t="shared" si="213"/>
        <v>13.688038808945183</v>
      </c>
      <c r="BC160" s="616">
        <f t="shared" si="213"/>
        <v>13.688038808945183</v>
      </c>
      <c r="BD160" s="616">
        <f t="shared" si="213"/>
        <v>13.688038808945183</v>
      </c>
      <c r="BE160" s="616">
        <f t="shared" si="213"/>
        <v>13.688038808945183</v>
      </c>
      <c r="BF160" s="616">
        <f t="shared" si="213"/>
        <v>13.688038808945183</v>
      </c>
      <c r="BG160" s="616">
        <f t="shared" si="213"/>
        <v>13.688038808945183</v>
      </c>
      <c r="BH160" s="616">
        <f t="shared" si="213"/>
        <v>13.688038808945183</v>
      </c>
      <c r="BI160" s="616">
        <f t="shared" si="213"/>
        <v>13.688038808945183</v>
      </c>
    </row>
    <row r="161" spans="1:61">
      <c r="A161" s="195" t="s">
        <v>290</v>
      </c>
      <c r="B161" s="195"/>
      <c r="C161" s="195"/>
      <c r="D161" s="195"/>
      <c r="E161" s="195"/>
      <c r="F161" s="195"/>
      <c r="G161" s="195"/>
      <c r="H161" s="195"/>
      <c r="I161" s="195"/>
      <c r="J161" s="195"/>
      <c r="K161" s="195"/>
      <c r="L161" s="195"/>
      <c r="M161" s="195"/>
      <c r="N161" s="195"/>
      <c r="O161" s="195"/>
      <c r="P161" s="657">
        <f>P138*$B$141</f>
        <v>1.6944444444444446E-2</v>
      </c>
      <c r="Q161" s="616"/>
      <c r="R161" s="616"/>
      <c r="S161" s="616">
        <f t="shared" si="214"/>
        <v>12.183055555555557</v>
      </c>
      <c r="T161" s="616">
        <f t="shared" si="213"/>
        <v>11.428347383666837</v>
      </c>
      <c r="U161" s="616">
        <f t="shared" si="213"/>
        <v>11.330427162893312</v>
      </c>
      <c r="V161" s="616">
        <f t="shared" si="213"/>
        <v>11.232506942119786</v>
      </c>
      <c r="W161" s="616">
        <f t="shared" si="213"/>
        <v>11.13458672134626</v>
      </c>
      <c r="X161" s="616">
        <f t="shared" si="213"/>
        <v>11.036666500572736</v>
      </c>
      <c r="Y161" s="616">
        <f t="shared" si="213"/>
        <v>10.938746279799206</v>
      </c>
      <c r="Z161" s="616">
        <f t="shared" si="213"/>
        <v>10.713323079547955</v>
      </c>
      <c r="AA161" s="616">
        <f t="shared" si="213"/>
        <v>10.487899879296705</v>
      </c>
      <c r="AB161" s="616">
        <f t="shared" si="213"/>
        <v>10.262476679045456</v>
      </c>
      <c r="AC161" s="616">
        <f t="shared" si="213"/>
        <v>10.037053478794205</v>
      </c>
      <c r="AD161" s="616">
        <f t="shared" si="213"/>
        <v>9.8116302785429532</v>
      </c>
      <c r="AE161" s="616">
        <f t="shared" si="213"/>
        <v>9.3620933372226922</v>
      </c>
      <c r="AF161" s="616">
        <f t="shared" si="213"/>
        <v>8.9125563959024294</v>
      </c>
      <c r="AG161" s="616">
        <f t="shared" si="213"/>
        <v>8.4630194545821684</v>
      </c>
      <c r="AH161" s="616">
        <f t="shared" si="213"/>
        <v>8.0134825132619074</v>
      </c>
      <c r="AI161" s="616">
        <f t="shared" si="213"/>
        <v>7.5639455719416455</v>
      </c>
      <c r="AJ161" s="616">
        <f t="shared" si="213"/>
        <v>7.3162630747437047</v>
      </c>
      <c r="AK161" s="616">
        <f t="shared" si="213"/>
        <v>7.068580577545764</v>
      </c>
      <c r="AL161" s="616">
        <f t="shared" si="213"/>
        <v>6.8208980803478223</v>
      </c>
      <c r="AM161" s="616">
        <f t="shared" si="213"/>
        <v>6.5732155831498815</v>
      </c>
      <c r="AN161" s="616">
        <f t="shared" si="213"/>
        <v>6.3255330859519416</v>
      </c>
      <c r="AO161" s="616">
        <f t="shared" si="213"/>
        <v>6.3255330859519416</v>
      </c>
      <c r="AP161" s="616">
        <f t="shared" si="213"/>
        <v>6.3255330859519416</v>
      </c>
      <c r="AQ161" s="616">
        <f t="shared" si="213"/>
        <v>6.3255330859519416</v>
      </c>
      <c r="AR161" s="616">
        <f t="shared" si="213"/>
        <v>6.3255330859519416</v>
      </c>
      <c r="AS161" s="616">
        <f t="shared" si="213"/>
        <v>6.3255330859519416</v>
      </c>
      <c r="AT161" s="616">
        <f t="shared" si="213"/>
        <v>6.3255330859519416</v>
      </c>
      <c r="AU161" s="616">
        <f t="shared" si="213"/>
        <v>6.3255330859519416</v>
      </c>
      <c r="AV161" s="616">
        <f t="shared" si="213"/>
        <v>6.3255330859519416</v>
      </c>
      <c r="AW161" s="616">
        <f t="shared" si="213"/>
        <v>6.3255330859519416</v>
      </c>
      <c r="AX161" s="616">
        <f t="shared" si="213"/>
        <v>6.3255330859519416</v>
      </c>
      <c r="AY161" s="616">
        <f t="shared" si="213"/>
        <v>6.3255330859519416</v>
      </c>
      <c r="AZ161" s="616">
        <f t="shared" si="213"/>
        <v>6.3255330859519416</v>
      </c>
      <c r="BA161" s="616">
        <f t="shared" si="213"/>
        <v>6.3255330859519416</v>
      </c>
      <c r="BB161" s="616">
        <f t="shared" si="213"/>
        <v>6.3255330859519416</v>
      </c>
      <c r="BC161" s="616">
        <f t="shared" si="213"/>
        <v>6.3255330859519416</v>
      </c>
      <c r="BD161" s="616">
        <f t="shared" si="213"/>
        <v>6.3255330859519416</v>
      </c>
      <c r="BE161" s="616">
        <f t="shared" si="213"/>
        <v>6.3255330859519416</v>
      </c>
      <c r="BF161" s="616">
        <f t="shared" si="213"/>
        <v>6.3255330859519416</v>
      </c>
      <c r="BG161" s="616">
        <f t="shared" si="213"/>
        <v>6.3255330859519416</v>
      </c>
      <c r="BH161" s="616">
        <f t="shared" si="213"/>
        <v>6.3255330859519416</v>
      </c>
      <c r="BI161" s="616">
        <f t="shared" si="213"/>
        <v>6.3255330859519416</v>
      </c>
    </row>
    <row r="162" spans="1:61" ht="30" customHeight="1">
      <c r="A162" s="783" t="s">
        <v>503</v>
      </c>
      <c r="B162" s="647"/>
      <c r="C162" s="647"/>
      <c r="D162" s="647"/>
      <c r="E162" s="647"/>
      <c r="F162" s="647"/>
      <c r="G162" s="647"/>
      <c r="H162" s="647"/>
      <c r="I162" s="647"/>
      <c r="J162" s="647"/>
      <c r="K162" s="647"/>
      <c r="L162" s="647"/>
      <c r="M162" s="647"/>
      <c r="N162" s="647"/>
      <c r="O162" s="647"/>
      <c r="P162" s="783"/>
      <c r="Q162" s="647"/>
      <c r="R162" s="647"/>
      <c r="S162" s="647" t="s">
        <v>733</v>
      </c>
      <c r="T162" s="647"/>
      <c r="U162" s="647"/>
      <c r="V162" s="647"/>
      <c r="W162" s="647"/>
      <c r="X162" s="647"/>
      <c r="Y162" s="647"/>
      <c r="Z162" s="647"/>
      <c r="AA162" s="647"/>
      <c r="AB162" s="647"/>
      <c r="AC162" s="647"/>
      <c r="AD162" s="647"/>
      <c r="AE162" s="647"/>
      <c r="AF162" s="647"/>
      <c r="AG162" s="647"/>
      <c r="AH162" s="647"/>
      <c r="AI162" s="647"/>
      <c r="AJ162" s="647"/>
      <c r="AK162" s="647"/>
      <c r="AL162" s="647"/>
      <c r="AM162" s="647"/>
      <c r="AN162" s="647"/>
      <c r="AO162" s="647"/>
      <c r="AP162" s="647"/>
      <c r="AQ162" s="647"/>
      <c r="AR162" s="647"/>
      <c r="AS162" s="647"/>
      <c r="AT162" s="647"/>
      <c r="AU162" s="647"/>
      <c r="AV162" s="647"/>
      <c r="AW162" s="647"/>
      <c r="AX162" s="647"/>
      <c r="AY162" s="647"/>
      <c r="AZ162" s="647"/>
      <c r="BA162" s="647"/>
      <c r="BB162" s="647"/>
      <c r="BC162" s="647"/>
      <c r="BD162" s="647"/>
      <c r="BE162" s="647"/>
      <c r="BF162" s="647"/>
      <c r="BG162" s="647"/>
      <c r="BH162" s="647"/>
      <c r="BI162" s="647"/>
    </row>
    <row r="163" spans="1:61" ht="30" customHeight="1" thickBot="1">
      <c r="A163" s="784"/>
      <c r="B163" s="646"/>
      <c r="C163" s="646"/>
      <c r="D163" s="646"/>
      <c r="E163" s="646"/>
      <c r="F163" s="646"/>
      <c r="G163" s="646"/>
      <c r="H163" s="646"/>
      <c r="I163" s="646"/>
      <c r="J163" s="646"/>
      <c r="K163" s="646"/>
      <c r="L163" s="646"/>
      <c r="M163" s="646"/>
      <c r="N163" s="646"/>
      <c r="O163" s="646"/>
      <c r="P163" s="784"/>
      <c r="Q163" s="646"/>
      <c r="R163" s="646"/>
      <c r="S163" s="646">
        <v>2019</v>
      </c>
      <c r="T163" s="646">
        <f>S163+1</f>
        <v>2020</v>
      </c>
      <c r="U163" s="646">
        <f t="shared" ref="U163" si="215">T163+1</f>
        <v>2021</v>
      </c>
      <c r="V163" s="646">
        <f t="shared" ref="V163" si="216">U163+1</f>
        <v>2022</v>
      </c>
      <c r="W163" s="646">
        <f t="shared" ref="W163" si="217">V163+1</f>
        <v>2023</v>
      </c>
      <c r="X163" s="646">
        <f t="shared" ref="X163" si="218">W163+1</f>
        <v>2024</v>
      </c>
      <c r="Y163" s="646">
        <f t="shared" ref="Y163" si="219">X163+1</f>
        <v>2025</v>
      </c>
      <c r="Z163" s="646">
        <f t="shared" ref="Z163" si="220">Y163+1</f>
        <v>2026</v>
      </c>
      <c r="AA163" s="646">
        <f t="shared" ref="AA163" si="221">Z163+1</f>
        <v>2027</v>
      </c>
      <c r="AB163" s="646">
        <f t="shared" ref="AB163" si="222">AA163+1</f>
        <v>2028</v>
      </c>
      <c r="AC163" s="646">
        <f t="shared" ref="AC163" si="223">AB163+1</f>
        <v>2029</v>
      </c>
      <c r="AD163" s="646">
        <f t="shared" ref="AD163" si="224">AC163+1</f>
        <v>2030</v>
      </c>
      <c r="AE163" s="646">
        <f t="shared" ref="AE163" si="225">AD163+1</f>
        <v>2031</v>
      </c>
      <c r="AF163" s="646">
        <f t="shared" ref="AF163" si="226">AE163+1</f>
        <v>2032</v>
      </c>
      <c r="AG163" s="646">
        <f t="shared" ref="AG163" si="227">AF163+1</f>
        <v>2033</v>
      </c>
      <c r="AH163" s="646">
        <f t="shared" ref="AH163" si="228">AG163+1</f>
        <v>2034</v>
      </c>
      <c r="AI163" s="646">
        <f t="shared" ref="AI163" si="229">AH163+1</f>
        <v>2035</v>
      </c>
      <c r="AJ163" s="646">
        <f t="shared" ref="AJ163" si="230">AI163+1</f>
        <v>2036</v>
      </c>
      <c r="AK163" s="646">
        <f t="shared" ref="AK163" si="231">AJ163+1</f>
        <v>2037</v>
      </c>
      <c r="AL163" s="646">
        <f t="shared" ref="AL163" si="232">AK163+1</f>
        <v>2038</v>
      </c>
      <c r="AM163" s="646">
        <f t="shared" ref="AM163" si="233">AL163+1</f>
        <v>2039</v>
      </c>
      <c r="AN163" s="646">
        <f t="shared" ref="AN163" si="234">AM163+1</f>
        <v>2040</v>
      </c>
      <c r="AO163" s="646">
        <f t="shared" ref="AO163" si="235">AN163+1</f>
        <v>2041</v>
      </c>
      <c r="AP163" s="646">
        <f t="shared" ref="AP163" si="236">AO163+1</f>
        <v>2042</v>
      </c>
      <c r="AQ163" s="646">
        <f t="shared" ref="AQ163" si="237">AP163+1</f>
        <v>2043</v>
      </c>
      <c r="AR163" s="646">
        <f t="shared" ref="AR163" si="238">AQ163+1</f>
        <v>2044</v>
      </c>
      <c r="AS163" s="646">
        <f t="shared" ref="AS163" si="239">AR163+1</f>
        <v>2045</v>
      </c>
      <c r="AT163" s="646">
        <f t="shared" ref="AT163" si="240">AS163+1</f>
        <v>2046</v>
      </c>
      <c r="AU163" s="646">
        <f t="shared" ref="AU163" si="241">AT163+1</f>
        <v>2047</v>
      </c>
      <c r="AV163" s="646">
        <f t="shared" ref="AV163" si="242">AU163+1</f>
        <v>2048</v>
      </c>
      <c r="AW163" s="646">
        <f t="shared" ref="AW163" si="243">AV163+1</f>
        <v>2049</v>
      </c>
      <c r="AX163" s="646">
        <f t="shared" ref="AX163" si="244">AW163+1</f>
        <v>2050</v>
      </c>
      <c r="AY163" s="646">
        <f t="shared" ref="AY163" si="245">AX163+1</f>
        <v>2051</v>
      </c>
      <c r="AZ163" s="646">
        <f t="shared" ref="AZ163" si="246">AY163+1</f>
        <v>2052</v>
      </c>
      <c r="BA163" s="646">
        <f t="shared" ref="BA163" si="247">AZ163+1</f>
        <v>2053</v>
      </c>
      <c r="BB163" s="646">
        <f t="shared" ref="BB163" si="248">BA163+1</f>
        <v>2054</v>
      </c>
      <c r="BC163" s="646">
        <f t="shared" ref="BC163" si="249">BB163+1</f>
        <v>2055</v>
      </c>
      <c r="BD163" s="646">
        <f t="shared" ref="BD163" si="250">BC163+1</f>
        <v>2056</v>
      </c>
      <c r="BE163" s="646">
        <f t="shared" ref="BE163" si="251">BD163+1</f>
        <v>2057</v>
      </c>
      <c r="BF163" s="646">
        <f t="shared" ref="BF163" si="252">BE163+1</f>
        <v>2058</v>
      </c>
      <c r="BG163" s="646">
        <f t="shared" ref="BG163" si="253">BF163+1</f>
        <v>2059</v>
      </c>
      <c r="BH163" s="646">
        <f t="shared" ref="BH163" si="254">BG163+1</f>
        <v>2060</v>
      </c>
      <c r="BI163" s="646">
        <f t="shared" ref="BI163" si="255">BH163+1</f>
        <v>2061</v>
      </c>
    </row>
    <row r="164" spans="1:61">
      <c r="A164" s="195" t="s">
        <v>494</v>
      </c>
      <c r="B164" s="195"/>
      <c r="C164" s="195"/>
      <c r="D164" s="195"/>
      <c r="E164" s="195"/>
      <c r="F164" s="195"/>
      <c r="G164" s="195"/>
      <c r="H164" s="195"/>
      <c r="I164" s="195"/>
      <c r="J164" s="195"/>
      <c r="K164" s="195"/>
      <c r="L164" s="195"/>
      <c r="M164" s="195"/>
      <c r="N164" s="195"/>
      <c r="O164" s="195"/>
      <c r="P164" s="657"/>
      <c r="Q164" s="616"/>
      <c r="R164" s="616"/>
      <c r="S164" s="649">
        <f>$P$148</f>
        <v>91.456000000000003</v>
      </c>
      <c r="T164" s="616">
        <f>$S164</f>
        <v>91.456000000000003</v>
      </c>
      <c r="U164" s="616">
        <f>$S164</f>
        <v>91.456000000000003</v>
      </c>
      <c r="V164" s="616">
        <f t="shared" ref="V164:BI167" si="256">$S164</f>
        <v>91.456000000000003</v>
      </c>
      <c r="W164" s="616">
        <f t="shared" si="256"/>
        <v>91.456000000000003</v>
      </c>
      <c r="X164" s="616">
        <f t="shared" si="256"/>
        <v>91.456000000000003</v>
      </c>
      <c r="Y164" s="616">
        <f t="shared" si="256"/>
        <v>91.456000000000003</v>
      </c>
      <c r="Z164" s="616">
        <f t="shared" si="256"/>
        <v>91.456000000000003</v>
      </c>
      <c r="AA164" s="616">
        <f t="shared" si="256"/>
        <v>91.456000000000003</v>
      </c>
      <c r="AB164" s="616">
        <f t="shared" si="256"/>
        <v>91.456000000000003</v>
      </c>
      <c r="AC164" s="616">
        <f t="shared" si="256"/>
        <v>91.456000000000003</v>
      </c>
      <c r="AD164" s="616">
        <f t="shared" si="256"/>
        <v>91.456000000000003</v>
      </c>
      <c r="AE164" s="616">
        <f t="shared" si="256"/>
        <v>91.456000000000003</v>
      </c>
      <c r="AF164" s="616">
        <f t="shared" si="256"/>
        <v>91.456000000000003</v>
      </c>
      <c r="AG164" s="616">
        <f t="shared" si="256"/>
        <v>91.456000000000003</v>
      </c>
      <c r="AH164" s="616">
        <f t="shared" si="256"/>
        <v>91.456000000000003</v>
      </c>
      <c r="AI164" s="616">
        <f t="shared" si="256"/>
        <v>91.456000000000003</v>
      </c>
      <c r="AJ164" s="616">
        <f t="shared" si="256"/>
        <v>91.456000000000003</v>
      </c>
      <c r="AK164" s="616">
        <f t="shared" si="256"/>
        <v>91.456000000000003</v>
      </c>
      <c r="AL164" s="616">
        <f t="shared" si="256"/>
        <v>91.456000000000003</v>
      </c>
      <c r="AM164" s="616">
        <f t="shared" si="256"/>
        <v>91.456000000000003</v>
      </c>
      <c r="AN164" s="616">
        <f t="shared" si="256"/>
        <v>91.456000000000003</v>
      </c>
      <c r="AO164" s="616">
        <f t="shared" si="256"/>
        <v>91.456000000000003</v>
      </c>
      <c r="AP164" s="616">
        <f t="shared" si="256"/>
        <v>91.456000000000003</v>
      </c>
      <c r="AQ164" s="616">
        <f t="shared" si="256"/>
        <v>91.456000000000003</v>
      </c>
      <c r="AR164" s="616">
        <f t="shared" si="256"/>
        <v>91.456000000000003</v>
      </c>
      <c r="AS164" s="616">
        <f t="shared" si="256"/>
        <v>91.456000000000003</v>
      </c>
      <c r="AT164" s="616">
        <f t="shared" si="256"/>
        <v>91.456000000000003</v>
      </c>
      <c r="AU164" s="616">
        <f t="shared" si="256"/>
        <v>91.456000000000003</v>
      </c>
      <c r="AV164" s="616">
        <f t="shared" si="256"/>
        <v>91.456000000000003</v>
      </c>
      <c r="AW164" s="616">
        <f t="shared" si="256"/>
        <v>91.456000000000003</v>
      </c>
      <c r="AX164" s="616">
        <f t="shared" si="256"/>
        <v>91.456000000000003</v>
      </c>
      <c r="AY164" s="616">
        <f t="shared" si="256"/>
        <v>91.456000000000003</v>
      </c>
      <c r="AZ164" s="616">
        <f t="shared" si="256"/>
        <v>91.456000000000003</v>
      </c>
      <c r="BA164" s="616">
        <f t="shared" si="256"/>
        <v>91.456000000000003</v>
      </c>
      <c r="BB164" s="616">
        <f t="shared" si="256"/>
        <v>91.456000000000003</v>
      </c>
      <c r="BC164" s="616">
        <f t="shared" si="256"/>
        <v>91.456000000000003</v>
      </c>
      <c r="BD164" s="616">
        <f t="shared" si="256"/>
        <v>91.456000000000003</v>
      </c>
      <c r="BE164" s="616">
        <f t="shared" si="256"/>
        <v>91.456000000000003</v>
      </c>
      <c r="BF164" s="616">
        <f t="shared" si="256"/>
        <v>91.456000000000003</v>
      </c>
      <c r="BG164" s="616">
        <f t="shared" si="256"/>
        <v>91.456000000000003</v>
      </c>
      <c r="BH164" s="616">
        <f t="shared" si="256"/>
        <v>91.456000000000003</v>
      </c>
      <c r="BI164" s="616">
        <f t="shared" si="256"/>
        <v>91.456000000000003</v>
      </c>
    </row>
    <row r="165" spans="1:61">
      <c r="A165" s="195" t="s">
        <v>496</v>
      </c>
      <c r="B165" s="195"/>
      <c r="C165" s="195"/>
      <c r="D165" s="195"/>
      <c r="E165" s="195"/>
      <c r="F165" s="195"/>
      <c r="G165" s="195"/>
      <c r="H165" s="195"/>
      <c r="I165" s="195"/>
      <c r="J165" s="195"/>
      <c r="K165" s="195"/>
      <c r="L165" s="195"/>
      <c r="M165" s="195"/>
      <c r="N165" s="195"/>
      <c r="O165" s="195"/>
      <c r="P165" s="657"/>
      <c r="Q165" s="616"/>
      <c r="R165" s="616"/>
      <c r="S165" s="617">
        <f>$P$149</f>
        <v>91.456000000000003</v>
      </c>
      <c r="T165" s="616">
        <f t="shared" ref="T165:AI167" si="257">$S165</f>
        <v>91.456000000000003</v>
      </c>
      <c r="U165" s="616">
        <f t="shared" si="257"/>
        <v>91.456000000000003</v>
      </c>
      <c r="V165" s="616">
        <f t="shared" si="257"/>
        <v>91.456000000000003</v>
      </c>
      <c r="W165" s="616">
        <f t="shared" si="257"/>
        <v>91.456000000000003</v>
      </c>
      <c r="X165" s="616">
        <f t="shared" si="257"/>
        <v>91.456000000000003</v>
      </c>
      <c r="Y165" s="616">
        <f t="shared" si="257"/>
        <v>91.456000000000003</v>
      </c>
      <c r="Z165" s="616">
        <f t="shared" si="257"/>
        <v>91.456000000000003</v>
      </c>
      <c r="AA165" s="616">
        <f t="shared" si="257"/>
        <v>91.456000000000003</v>
      </c>
      <c r="AB165" s="616">
        <f t="shared" si="257"/>
        <v>91.456000000000003</v>
      </c>
      <c r="AC165" s="616">
        <f t="shared" si="257"/>
        <v>91.456000000000003</v>
      </c>
      <c r="AD165" s="616">
        <f t="shared" si="257"/>
        <v>91.456000000000003</v>
      </c>
      <c r="AE165" s="616">
        <f t="shared" si="257"/>
        <v>91.456000000000003</v>
      </c>
      <c r="AF165" s="616">
        <f t="shared" si="257"/>
        <v>91.456000000000003</v>
      </c>
      <c r="AG165" s="616">
        <f t="shared" si="257"/>
        <v>91.456000000000003</v>
      </c>
      <c r="AH165" s="616">
        <f t="shared" si="257"/>
        <v>91.456000000000003</v>
      </c>
      <c r="AI165" s="616">
        <f t="shared" si="257"/>
        <v>91.456000000000003</v>
      </c>
      <c r="AJ165" s="616">
        <f t="shared" si="256"/>
        <v>91.456000000000003</v>
      </c>
      <c r="AK165" s="616">
        <f t="shared" si="256"/>
        <v>91.456000000000003</v>
      </c>
      <c r="AL165" s="616">
        <f t="shared" si="256"/>
        <v>91.456000000000003</v>
      </c>
      <c r="AM165" s="616">
        <f t="shared" si="256"/>
        <v>91.456000000000003</v>
      </c>
      <c r="AN165" s="616">
        <f t="shared" si="256"/>
        <v>91.456000000000003</v>
      </c>
      <c r="AO165" s="616">
        <f t="shared" si="256"/>
        <v>91.456000000000003</v>
      </c>
      <c r="AP165" s="616">
        <f t="shared" si="256"/>
        <v>91.456000000000003</v>
      </c>
      <c r="AQ165" s="616">
        <f t="shared" si="256"/>
        <v>91.456000000000003</v>
      </c>
      <c r="AR165" s="616">
        <f t="shared" si="256"/>
        <v>91.456000000000003</v>
      </c>
      <c r="AS165" s="616">
        <f t="shared" si="256"/>
        <v>91.456000000000003</v>
      </c>
      <c r="AT165" s="616">
        <f t="shared" si="256"/>
        <v>91.456000000000003</v>
      </c>
      <c r="AU165" s="616">
        <f t="shared" si="256"/>
        <v>91.456000000000003</v>
      </c>
      <c r="AV165" s="616">
        <f t="shared" si="256"/>
        <v>91.456000000000003</v>
      </c>
      <c r="AW165" s="616">
        <f t="shared" si="256"/>
        <v>91.456000000000003</v>
      </c>
      <c r="AX165" s="616">
        <f t="shared" si="256"/>
        <v>91.456000000000003</v>
      </c>
      <c r="AY165" s="616">
        <f t="shared" si="256"/>
        <v>91.456000000000003</v>
      </c>
      <c r="AZ165" s="616">
        <f t="shared" si="256"/>
        <v>91.456000000000003</v>
      </c>
      <c r="BA165" s="616">
        <f t="shared" si="256"/>
        <v>91.456000000000003</v>
      </c>
      <c r="BB165" s="616">
        <f t="shared" si="256"/>
        <v>91.456000000000003</v>
      </c>
      <c r="BC165" s="616">
        <f t="shared" si="256"/>
        <v>91.456000000000003</v>
      </c>
      <c r="BD165" s="616">
        <f t="shared" si="256"/>
        <v>91.456000000000003</v>
      </c>
      <c r="BE165" s="616">
        <f t="shared" si="256"/>
        <v>91.456000000000003</v>
      </c>
      <c r="BF165" s="616">
        <f t="shared" si="256"/>
        <v>91.456000000000003</v>
      </c>
      <c r="BG165" s="616">
        <f t="shared" si="256"/>
        <v>91.456000000000003</v>
      </c>
      <c r="BH165" s="616">
        <f t="shared" si="256"/>
        <v>91.456000000000003</v>
      </c>
      <c r="BI165" s="616">
        <f t="shared" si="256"/>
        <v>91.456000000000003</v>
      </c>
    </row>
    <row r="166" spans="1:61">
      <c r="A166" s="195" t="s">
        <v>497</v>
      </c>
      <c r="B166" s="195"/>
      <c r="C166" s="195"/>
      <c r="D166" s="195"/>
      <c r="E166" s="195"/>
      <c r="F166" s="195"/>
      <c r="G166" s="195"/>
      <c r="H166" s="195"/>
      <c r="I166" s="195"/>
      <c r="J166" s="195"/>
      <c r="K166" s="195"/>
      <c r="L166" s="195"/>
      <c r="M166" s="195"/>
      <c r="N166" s="195"/>
      <c r="O166" s="195"/>
      <c r="P166" s="657"/>
      <c r="Q166" s="616"/>
      <c r="R166" s="616"/>
      <c r="S166" s="617">
        <f>$P$150</f>
        <v>90.917000000000002</v>
      </c>
      <c r="T166" s="616">
        <f t="shared" si="257"/>
        <v>90.917000000000002</v>
      </c>
      <c r="U166" s="616">
        <f t="shared" si="257"/>
        <v>90.917000000000002</v>
      </c>
      <c r="V166" s="616">
        <f t="shared" si="256"/>
        <v>90.917000000000002</v>
      </c>
      <c r="W166" s="616">
        <f t="shared" si="256"/>
        <v>90.917000000000002</v>
      </c>
      <c r="X166" s="616">
        <f t="shared" si="256"/>
        <v>90.917000000000002</v>
      </c>
      <c r="Y166" s="616">
        <f t="shared" si="256"/>
        <v>90.917000000000002</v>
      </c>
      <c r="Z166" s="616">
        <f t="shared" si="256"/>
        <v>90.917000000000002</v>
      </c>
      <c r="AA166" s="616">
        <f t="shared" si="256"/>
        <v>90.917000000000002</v>
      </c>
      <c r="AB166" s="616">
        <f t="shared" si="256"/>
        <v>90.917000000000002</v>
      </c>
      <c r="AC166" s="616">
        <f t="shared" si="256"/>
        <v>90.917000000000002</v>
      </c>
      <c r="AD166" s="616">
        <f t="shared" si="256"/>
        <v>90.917000000000002</v>
      </c>
      <c r="AE166" s="616">
        <f t="shared" si="256"/>
        <v>90.917000000000002</v>
      </c>
      <c r="AF166" s="616">
        <f t="shared" si="256"/>
        <v>90.917000000000002</v>
      </c>
      <c r="AG166" s="616">
        <f t="shared" si="256"/>
        <v>90.917000000000002</v>
      </c>
      <c r="AH166" s="616">
        <f t="shared" si="256"/>
        <v>90.917000000000002</v>
      </c>
      <c r="AI166" s="616">
        <f t="shared" si="256"/>
        <v>90.917000000000002</v>
      </c>
      <c r="AJ166" s="616">
        <f t="shared" si="256"/>
        <v>90.917000000000002</v>
      </c>
      <c r="AK166" s="616">
        <f t="shared" si="256"/>
        <v>90.917000000000002</v>
      </c>
      <c r="AL166" s="616">
        <f t="shared" si="256"/>
        <v>90.917000000000002</v>
      </c>
      <c r="AM166" s="616">
        <f t="shared" si="256"/>
        <v>90.917000000000002</v>
      </c>
      <c r="AN166" s="616">
        <f t="shared" si="256"/>
        <v>90.917000000000002</v>
      </c>
      <c r="AO166" s="616">
        <f t="shared" si="256"/>
        <v>90.917000000000002</v>
      </c>
      <c r="AP166" s="616">
        <f t="shared" si="256"/>
        <v>90.917000000000002</v>
      </c>
      <c r="AQ166" s="616">
        <f t="shared" si="256"/>
        <v>90.917000000000002</v>
      </c>
      <c r="AR166" s="616">
        <f t="shared" si="256"/>
        <v>90.917000000000002</v>
      </c>
      <c r="AS166" s="616">
        <f t="shared" si="256"/>
        <v>90.917000000000002</v>
      </c>
      <c r="AT166" s="616">
        <f t="shared" si="256"/>
        <v>90.917000000000002</v>
      </c>
      <c r="AU166" s="616">
        <f t="shared" si="256"/>
        <v>90.917000000000002</v>
      </c>
      <c r="AV166" s="616">
        <f t="shared" si="256"/>
        <v>90.917000000000002</v>
      </c>
      <c r="AW166" s="616">
        <f t="shared" si="256"/>
        <v>90.917000000000002</v>
      </c>
      <c r="AX166" s="616">
        <f t="shared" si="256"/>
        <v>90.917000000000002</v>
      </c>
      <c r="AY166" s="616">
        <f t="shared" si="256"/>
        <v>90.917000000000002</v>
      </c>
      <c r="AZ166" s="616">
        <f t="shared" si="256"/>
        <v>90.917000000000002</v>
      </c>
      <c r="BA166" s="616">
        <f t="shared" si="256"/>
        <v>90.917000000000002</v>
      </c>
      <c r="BB166" s="616">
        <f t="shared" si="256"/>
        <v>90.917000000000002</v>
      </c>
      <c r="BC166" s="616">
        <f t="shared" si="256"/>
        <v>90.917000000000002</v>
      </c>
      <c r="BD166" s="616">
        <f t="shared" si="256"/>
        <v>90.917000000000002</v>
      </c>
      <c r="BE166" s="616">
        <f t="shared" si="256"/>
        <v>90.917000000000002</v>
      </c>
      <c r="BF166" s="616">
        <f t="shared" si="256"/>
        <v>90.917000000000002</v>
      </c>
      <c r="BG166" s="616">
        <f t="shared" si="256"/>
        <v>90.917000000000002</v>
      </c>
      <c r="BH166" s="616">
        <f t="shared" si="256"/>
        <v>90.917000000000002</v>
      </c>
      <c r="BI166" s="616">
        <f t="shared" si="256"/>
        <v>90.917000000000002</v>
      </c>
    </row>
    <row r="167" spans="1:61">
      <c r="A167" s="195" t="s">
        <v>290</v>
      </c>
      <c r="B167" s="195"/>
      <c r="C167" s="195"/>
      <c r="D167" s="195"/>
      <c r="E167" s="195"/>
      <c r="F167" s="195"/>
      <c r="G167" s="195"/>
      <c r="H167" s="195"/>
      <c r="I167" s="195"/>
      <c r="J167" s="195"/>
      <c r="K167" s="195"/>
      <c r="L167" s="195"/>
      <c r="M167" s="195"/>
      <c r="N167" s="195"/>
      <c r="O167" s="195"/>
      <c r="P167" s="657"/>
      <c r="Q167" s="616"/>
      <c r="R167" s="616"/>
      <c r="S167" s="617">
        <f>$P$151</f>
        <v>31.4436</v>
      </c>
      <c r="T167" s="616">
        <f t="shared" si="257"/>
        <v>31.4436</v>
      </c>
      <c r="U167" s="616">
        <f t="shared" si="257"/>
        <v>31.4436</v>
      </c>
      <c r="V167" s="616">
        <f t="shared" si="256"/>
        <v>31.4436</v>
      </c>
      <c r="W167" s="616">
        <f t="shared" si="256"/>
        <v>31.4436</v>
      </c>
      <c r="X167" s="616">
        <f t="shared" si="256"/>
        <v>31.4436</v>
      </c>
      <c r="Y167" s="616">
        <f t="shared" si="256"/>
        <v>31.4436</v>
      </c>
      <c r="Z167" s="616">
        <f t="shared" si="256"/>
        <v>31.4436</v>
      </c>
      <c r="AA167" s="616">
        <f t="shared" si="256"/>
        <v>31.4436</v>
      </c>
      <c r="AB167" s="616">
        <f t="shared" si="256"/>
        <v>31.4436</v>
      </c>
      <c r="AC167" s="616">
        <f t="shared" si="256"/>
        <v>31.4436</v>
      </c>
      <c r="AD167" s="616">
        <f t="shared" si="256"/>
        <v>31.4436</v>
      </c>
      <c r="AE167" s="616">
        <f t="shared" si="256"/>
        <v>31.4436</v>
      </c>
      <c r="AF167" s="616">
        <f t="shared" si="256"/>
        <v>31.4436</v>
      </c>
      <c r="AG167" s="616">
        <f t="shared" si="256"/>
        <v>31.4436</v>
      </c>
      <c r="AH167" s="616">
        <f t="shared" si="256"/>
        <v>31.4436</v>
      </c>
      <c r="AI167" s="616">
        <f t="shared" si="256"/>
        <v>31.4436</v>
      </c>
      <c r="AJ167" s="616">
        <f t="shared" si="256"/>
        <v>31.4436</v>
      </c>
      <c r="AK167" s="616">
        <f t="shared" si="256"/>
        <v>31.4436</v>
      </c>
      <c r="AL167" s="616">
        <f t="shared" si="256"/>
        <v>31.4436</v>
      </c>
      <c r="AM167" s="616">
        <f t="shared" si="256"/>
        <v>31.4436</v>
      </c>
      <c r="AN167" s="616">
        <f t="shared" si="256"/>
        <v>31.4436</v>
      </c>
      <c r="AO167" s="616">
        <f t="shared" si="256"/>
        <v>31.4436</v>
      </c>
      <c r="AP167" s="616">
        <f t="shared" si="256"/>
        <v>31.4436</v>
      </c>
      <c r="AQ167" s="616">
        <f t="shared" si="256"/>
        <v>31.4436</v>
      </c>
      <c r="AR167" s="616">
        <f t="shared" si="256"/>
        <v>31.4436</v>
      </c>
      <c r="AS167" s="616">
        <f t="shared" si="256"/>
        <v>31.4436</v>
      </c>
      <c r="AT167" s="616">
        <f t="shared" si="256"/>
        <v>31.4436</v>
      </c>
      <c r="AU167" s="616">
        <f t="shared" si="256"/>
        <v>31.4436</v>
      </c>
      <c r="AV167" s="616">
        <f t="shared" si="256"/>
        <v>31.4436</v>
      </c>
      <c r="AW167" s="616">
        <f t="shared" si="256"/>
        <v>31.4436</v>
      </c>
      <c r="AX167" s="616">
        <f t="shared" si="256"/>
        <v>31.4436</v>
      </c>
      <c r="AY167" s="616">
        <f t="shared" si="256"/>
        <v>31.4436</v>
      </c>
      <c r="AZ167" s="616">
        <f t="shared" si="256"/>
        <v>31.4436</v>
      </c>
      <c r="BA167" s="616">
        <f t="shared" si="256"/>
        <v>31.4436</v>
      </c>
      <c r="BB167" s="616">
        <f t="shared" si="256"/>
        <v>31.4436</v>
      </c>
      <c r="BC167" s="616">
        <f t="shared" si="256"/>
        <v>31.4436</v>
      </c>
      <c r="BD167" s="616">
        <f t="shared" si="256"/>
        <v>31.4436</v>
      </c>
      <c r="BE167" s="616">
        <f t="shared" si="256"/>
        <v>31.4436</v>
      </c>
      <c r="BF167" s="616">
        <f t="shared" si="256"/>
        <v>31.4436</v>
      </c>
      <c r="BG167" s="616">
        <f t="shared" si="256"/>
        <v>31.4436</v>
      </c>
      <c r="BH167" s="616">
        <f t="shared" si="256"/>
        <v>31.4436</v>
      </c>
      <c r="BI167" s="616">
        <f t="shared" si="256"/>
        <v>31.4436</v>
      </c>
    </row>
    <row r="168" spans="1:61"/>
    <row r="169" spans="1:61">
      <c r="A169" s="787" t="s">
        <v>734</v>
      </c>
      <c r="B169" s="787"/>
      <c r="C169" s="787"/>
      <c r="D169" s="787"/>
      <c r="E169" s="787"/>
      <c r="F169" s="787"/>
      <c r="G169" s="787"/>
      <c r="H169" s="787"/>
      <c r="I169" s="787"/>
      <c r="J169" s="787"/>
      <c r="K169" s="787"/>
      <c r="L169" s="787"/>
      <c r="M169" s="787"/>
      <c r="N169" s="787"/>
      <c r="O169" s="787"/>
      <c r="P169" s="787"/>
      <c r="Q169" s="787"/>
      <c r="R169" s="787"/>
      <c r="S169" s="787"/>
      <c r="T169" s="787"/>
      <c r="U169" s="787"/>
      <c r="V169" s="787"/>
    </row>
    <row r="170" spans="1:61" s="690" customFormat="1">
      <c r="A170" s="789"/>
      <c r="B170" s="789"/>
      <c r="C170" s="789"/>
      <c r="D170" s="789"/>
      <c r="E170" s="789"/>
      <c r="F170" s="789"/>
      <c r="G170" s="789"/>
      <c r="H170" s="789"/>
      <c r="I170" s="789"/>
      <c r="J170" s="789"/>
      <c r="K170" s="789"/>
      <c r="L170" s="789"/>
      <c r="M170" s="789"/>
      <c r="N170" s="789"/>
      <c r="O170" s="789"/>
      <c r="P170" s="789"/>
      <c r="Q170" s="789"/>
      <c r="R170" s="789"/>
      <c r="S170" s="789"/>
      <c r="T170" s="789"/>
      <c r="U170" s="789"/>
      <c r="V170" s="789"/>
    </row>
    <row r="171" spans="1:61">
      <c r="A171" s="718" t="s">
        <v>493</v>
      </c>
      <c r="B171" s="685" t="s">
        <v>328</v>
      </c>
      <c r="C171" s="671"/>
      <c r="D171" s="671"/>
      <c r="E171" s="671"/>
      <c r="F171" s="671"/>
      <c r="G171" s="671"/>
      <c r="H171" s="671"/>
      <c r="I171" s="671"/>
      <c r="J171" s="671"/>
      <c r="K171" s="671"/>
      <c r="L171" s="671"/>
      <c r="M171" s="671"/>
      <c r="N171" s="671"/>
      <c r="O171" s="671"/>
      <c r="P171" s="674"/>
      <c r="Q171" s="6"/>
      <c r="R171" s="6"/>
      <c r="S171" s="6"/>
      <c r="T171" s="6">
        <v>2020</v>
      </c>
      <c r="U171" s="6">
        <f>T171+1</f>
        <v>2021</v>
      </c>
      <c r="V171" s="6">
        <f t="shared" ref="V171" si="258">U171+1</f>
        <v>2022</v>
      </c>
      <c r="W171" s="6">
        <f t="shared" ref="W171" si="259">V171+1</f>
        <v>2023</v>
      </c>
      <c r="X171" s="6">
        <f t="shared" ref="X171" si="260">W171+1</f>
        <v>2024</v>
      </c>
      <c r="Y171" s="6">
        <f t="shared" ref="Y171" si="261">X171+1</f>
        <v>2025</v>
      </c>
      <c r="Z171" s="6">
        <f t="shared" ref="Z171" si="262">Y171+1</f>
        <v>2026</v>
      </c>
      <c r="AA171" s="6">
        <f t="shared" ref="AA171" si="263">Z171+1</f>
        <v>2027</v>
      </c>
      <c r="AB171" s="6">
        <f t="shared" ref="AB171" si="264">AA171+1</f>
        <v>2028</v>
      </c>
      <c r="AC171" s="6">
        <f t="shared" ref="AC171" si="265">AB171+1</f>
        <v>2029</v>
      </c>
      <c r="AD171" s="6">
        <f t="shared" ref="AD171" si="266">AC171+1</f>
        <v>2030</v>
      </c>
      <c r="AE171" s="6">
        <f t="shared" ref="AE171" si="267">AD171+1</f>
        <v>2031</v>
      </c>
      <c r="AF171" s="6">
        <f t="shared" ref="AF171" si="268">AE171+1</f>
        <v>2032</v>
      </c>
      <c r="AG171" s="6">
        <f t="shared" ref="AG171" si="269">AF171+1</f>
        <v>2033</v>
      </c>
      <c r="AH171" s="6">
        <f t="shared" ref="AH171" si="270">AG171+1</f>
        <v>2034</v>
      </c>
      <c r="AI171" s="6">
        <f t="shared" ref="AI171" si="271">AH171+1</f>
        <v>2035</v>
      </c>
      <c r="AJ171" s="6">
        <f t="shared" ref="AJ171" si="272">AI171+1</f>
        <v>2036</v>
      </c>
      <c r="AK171" s="6">
        <f t="shared" ref="AK171" si="273">AJ171+1</f>
        <v>2037</v>
      </c>
      <c r="AL171" s="6">
        <f t="shared" ref="AL171" si="274">AK171+1</f>
        <v>2038</v>
      </c>
      <c r="AM171" s="6">
        <f t="shared" ref="AM171" si="275">AL171+1</f>
        <v>2039</v>
      </c>
      <c r="AN171" s="6">
        <f t="shared" ref="AN171" si="276">AM171+1</f>
        <v>2040</v>
      </c>
      <c r="AO171" s="6">
        <f t="shared" ref="AO171" si="277">AN171+1</f>
        <v>2041</v>
      </c>
      <c r="AP171" s="6">
        <f t="shared" ref="AP171" si="278">AO171+1</f>
        <v>2042</v>
      </c>
      <c r="AQ171" s="6">
        <f t="shared" ref="AQ171" si="279">AP171+1</f>
        <v>2043</v>
      </c>
      <c r="AR171" s="6">
        <f t="shared" ref="AR171" si="280">AQ171+1</f>
        <v>2044</v>
      </c>
      <c r="AS171" s="6">
        <f t="shared" ref="AS171" si="281">AR171+1</f>
        <v>2045</v>
      </c>
      <c r="AT171" s="6">
        <f t="shared" ref="AT171" si="282">AS171+1</f>
        <v>2046</v>
      </c>
      <c r="AU171" s="6">
        <f t="shared" ref="AU171" si="283">AT171+1</f>
        <v>2047</v>
      </c>
      <c r="AV171" s="6">
        <f t="shared" ref="AV171" si="284">AU171+1</f>
        <v>2048</v>
      </c>
      <c r="AW171" s="6">
        <f t="shared" ref="AW171" si="285">AV171+1</f>
        <v>2049</v>
      </c>
      <c r="AX171" s="6">
        <f t="shared" ref="AX171" si="286">AW171+1</f>
        <v>2050</v>
      </c>
      <c r="AY171" s="6">
        <f t="shared" ref="AY171" si="287">AX171+1</f>
        <v>2051</v>
      </c>
      <c r="AZ171" s="6">
        <f t="shared" ref="AZ171" si="288">AY171+1</f>
        <v>2052</v>
      </c>
      <c r="BA171" s="6">
        <f t="shared" ref="BA171" si="289">AZ171+1</f>
        <v>2053</v>
      </c>
      <c r="BB171" s="6">
        <f t="shared" ref="BB171" si="290">BA171+1</f>
        <v>2054</v>
      </c>
      <c r="BC171" s="6">
        <f t="shared" ref="BC171" si="291">BB171+1</f>
        <v>2055</v>
      </c>
      <c r="BD171" s="6">
        <f t="shared" ref="BD171" si="292">BC171+1</f>
        <v>2056</v>
      </c>
      <c r="BE171" s="6">
        <f t="shared" ref="BE171" si="293">BD171+1</f>
        <v>2057</v>
      </c>
      <c r="BF171" s="6">
        <f t="shared" ref="BF171" si="294">BE171+1</f>
        <v>2058</v>
      </c>
      <c r="BG171" s="6">
        <f t="shared" ref="BG171" si="295">BF171+1</f>
        <v>2059</v>
      </c>
      <c r="BH171" s="6">
        <f t="shared" ref="BH171" si="296">BG171+1</f>
        <v>2060</v>
      </c>
      <c r="BI171" s="6">
        <f t="shared" ref="BI171" si="297">BH171+1</f>
        <v>2061</v>
      </c>
    </row>
    <row r="172" spans="1:61">
      <c r="A172" s="719"/>
      <c r="B172" s="686" t="s">
        <v>530</v>
      </c>
      <c r="C172" s="681"/>
      <c r="D172" s="681"/>
      <c r="E172" s="681"/>
      <c r="F172" s="681"/>
      <c r="G172" s="681"/>
      <c r="H172" s="681"/>
      <c r="I172" s="681"/>
      <c r="J172" s="681"/>
      <c r="K172" s="681"/>
      <c r="L172" s="681"/>
      <c r="M172" s="681"/>
      <c r="N172" s="681"/>
      <c r="O172" s="681"/>
      <c r="P172" s="687"/>
      <c r="Q172" s="683">
        <f>DATE(2016,12,31)</f>
        <v>42735</v>
      </c>
      <c r="R172" s="683">
        <f>DATE(YEAR(Q172+1),12,31)</f>
        <v>43100</v>
      </c>
      <c r="S172" s="683">
        <f t="shared" ref="S172" si="298">DATE(YEAR(R172+1),12,31)</f>
        <v>43465</v>
      </c>
      <c r="T172" s="683">
        <f>DATE(YEAR(S172+1),12,31)</f>
        <v>43830</v>
      </c>
      <c r="U172" s="683">
        <f t="shared" ref="U172:BI172" si="299">DATE(YEAR(T172+1),12,31)</f>
        <v>44196</v>
      </c>
      <c r="V172" s="683">
        <f t="shared" si="299"/>
        <v>44561</v>
      </c>
      <c r="W172" s="683">
        <f t="shared" si="299"/>
        <v>44926</v>
      </c>
      <c r="X172" s="683">
        <f t="shared" si="299"/>
        <v>45291</v>
      </c>
      <c r="Y172" s="683">
        <f t="shared" si="299"/>
        <v>45657</v>
      </c>
      <c r="Z172" s="683">
        <f t="shared" si="299"/>
        <v>46022</v>
      </c>
      <c r="AA172" s="683">
        <f t="shared" si="299"/>
        <v>46387</v>
      </c>
      <c r="AB172" s="683">
        <f t="shared" si="299"/>
        <v>46752</v>
      </c>
      <c r="AC172" s="683">
        <f t="shared" si="299"/>
        <v>47118</v>
      </c>
      <c r="AD172" s="683">
        <f t="shared" si="299"/>
        <v>47483</v>
      </c>
      <c r="AE172" s="683">
        <f t="shared" si="299"/>
        <v>47848</v>
      </c>
      <c r="AF172" s="683">
        <f t="shared" si="299"/>
        <v>48213</v>
      </c>
      <c r="AG172" s="683">
        <f t="shared" si="299"/>
        <v>48579</v>
      </c>
      <c r="AH172" s="683">
        <f t="shared" si="299"/>
        <v>48944</v>
      </c>
      <c r="AI172" s="683">
        <f t="shared" si="299"/>
        <v>49309</v>
      </c>
      <c r="AJ172" s="683">
        <f t="shared" si="299"/>
        <v>49674</v>
      </c>
      <c r="AK172" s="683">
        <f t="shared" si="299"/>
        <v>50040</v>
      </c>
      <c r="AL172" s="683">
        <f t="shared" si="299"/>
        <v>50405</v>
      </c>
      <c r="AM172" s="683">
        <f t="shared" si="299"/>
        <v>50770</v>
      </c>
      <c r="AN172" s="683">
        <f t="shared" si="299"/>
        <v>51135</v>
      </c>
      <c r="AO172" s="683">
        <f t="shared" si="299"/>
        <v>51501</v>
      </c>
      <c r="AP172" s="683">
        <f t="shared" si="299"/>
        <v>51866</v>
      </c>
      <c r="AQ172" s="683">
        <f t="shared" si="299"/>
        <v>52231</v>
      </c>
      <c r="AR172" s="683">
        <f t="shared" si="299"/>
        <v>52596</v>
      </c>
      <c r="AS172" s="683">
        <f t="shared" si="299"/>
        <v>52962</v>
      </c>
      <c r="AT172" s="683">
        <f t="shared" si="299"/>
        <v>53327</v>
      </c>
      <c r="AU172" s="683">
        <f t="shared" si="299"/>
        <v>53692</v>
      </c>
      <c r="AV172" s="683">
        <f t="shared" si="299"/>
        <v>54057</v>
      </c>
      <c r="AW172" s="683">
        <f t="shared" si="299"/>
        <v>54423</v>
      </c>
      <c r="AX172" s="683">
        <f t="shared" si="299"/>
        <v>54788</v>
      </c>
      <c r="AY172" s="683">
        <f t="shared" si="299"/>
        <v>55153</v>
      </c>
      <c r="AZ172" s="683">
        <f t="shared" si="299"/>
        <v>55518</v>
      </c>
      <c r="BA172" s="683">
        <f t="shared" si="299"/>
        <v>55884</v>
      </c>
      <c r="BB172" s="683">
        <f t="shared" si="299"/>
        <v>56249</v>
      </c>
      <c r="BC172" s="683">
        <f t="shared" si="299"/>
        <v>56614</v>
      </c>
      <c r="BD172" s="683">
        <f t="shared" si="299"/>
        <v>56979</v>
      </c>
      <c r="BE172" s="683">
        <f t="shared" si="299"/>
        <v>57345</v>
      </c>
      <c r="BF172" s="683">
        <f t="shared" si="299"/>
        <v>57710</v>
      </c>
      <c r="BG172" s="683">
        <f t="shared" si="299"/>
        <v>58075</v>
      </c>
      <c r="BH172" s="683">
        <f t="shared" si="299"/>
        <v>58440</v>
      </c>
      <c r="BI172" s="683">
        <f t="shared" si="299"/>
        <v>58806</v>
      </c>
    </row>
    <row r="173" spans="1:61">
      <c r="A173" s="8" t="s">
        <v>494</v>
      </c>
      <c r="B173" s="129" t="s">
        <v>510</v>
      </c>
      <c r="C173" s="13"/>
      <c r="D173" s="13"/>
      <c r="E173" s="13"/>
      <c r="F173" s="13"/>
      <c r="G173" s="13"/>
      <c r="H173" s="13"/>
      <c r="I173" s="13"/>
      <c r="J173" s="13"/>
      <c r="K173" s="13"/>
      <c r="L173" s="13"/>
      <c r="M173" s="13"/>
      <c r="N173" s="13"/>
      <c r="O173" s="13"/>
      <c r="P173" s="13"/>
      <c r="Q173" s="93"/>
      <c r="R173" s="93"/>
      <c r="S173" s="93"/>
      <c r="T173" s="10">
        <f t="shared" ref="T173:BI173" si="300">T$9*(T158*10^-6)</f>
        <v>8.2502133668312227E-3</v>
      </c>
      <c r="U173" s="10">
        <f t="shared" si="300"/>
        <v>8.4576278093200855E-3</v>
      </c>
      <c r="V173" s="10">
        <f t="shared" si="300"/>
        <v>1.0684727367168542E-2</v>
      </c>
      <c r="W173" s="10">
        <f t="shared" si="300"/>
        <v>1.2447839174948993E-2</v>
      </c>
      <c r="X173" s="10">
        <f t="shared" si="300"/>
        <v>1.4178302250936754E-2</v>
      </c>
      <c r="Y173" s="10">
        <f t="shared" si="300"/>
        <v>1.5876116595131832E-2</v>
      </c>
      <c r="Z173" s="10">
        <f t="shared" si="300"/>
        <v>1.7334972676033341E-2</v>
      </c>
      <c r="AA173" s="10">
        <f t="shared" si="300"/>
        <v>1.8718667758045014E-2</v>
      </c>
      <c r="AB173" s="10">
        <f t="shared" si="300"/>
        <v>2.0027201841166846E-2</v>
      </c>
      <c r="AC173" s="10">
        <f t="shared" si="300"/>
        <v>2.1260574925398845E-2</v>
      </c>
      <c r="AD173" s="10">
        <f t="shared" si="300"/>
        <v>2.2418787010741001E-2</v>
      </c>
      <c r="AE173" s="10">
        <f t="shared" si="300"/>
        <v>2.2952394003722024E-2</v>
      </c>
      <c r="AF173" s="10">
        <f t="shared" si="300"/>
        <v>2.429752860339366E-2</v>
      </c>
      <c r="AG173" s="10">
        <f t="shared" si="300"/>
        <v>2.539579313972094E-2</v>
      </c>
      <c r="AH173" s="10">
        <f t="shared" si="300"/>
        <v>2.6247187612703851E-2</v>
      </c>
      <c r="AI173" s="10">
        <f t="shared" si="300"/>
        <v>2.6851712022342409E-2</v>
      </c>
      <c r="AJ173" s="10">
        <f t="shared" si="300"/>
        <v>2.7981367501608061E-2</v>
      </c>
      <c r="AK173" s="10">
        <f t="shared" si="300"/>
        <v>2.8905686170009503E-2</v>
      </c>
      <c r="AL173" s="10">
        <f t="shared" si="300"/>
        <v>2.9698844027608445E-2</v>
      </c>
      <c r="AM173" s="10">
        <f t="shared" si="300"/>
        <v>3.0360841074404891E-2</v>
      </c>
      <c r="AN173" s="10">
        <f t="shared" si="300"/>
        <v>3.0891677310398845E-2</v>
      </c>
      <c r="AO173" s="10">
        <f t="shared" si="300"/>
        <v>3.2566527285059023E-2</v>
      </c>
      <c r="AP173" s="10">
        <f t="shared" si="300"/>
        <v>3.4241377259719208E-2</v>
      </c>
      <c r="AQ173" s="10">
        <f t="shared" si="300"/>
        <v>3.5916227234379386E-2</v>
      </c>
      <c r="AR173" s="10">
        <f t="shared" si="300"/>
        <v>3.7591077209039564E-2</v>
      </c>
      <c r="AS173" s="10">
        <f t="shared" si="300"/>
        <v>3.9265927183699742E-2</v>
      </c>
      <c r="AT173" s="10">
        <f t="shared" si="300"/>
        <v>4.094077715835992E-2</v>
      </c>
      <c r="AU173" s="10">
        <f t="shared" si="300"/>
        <v>4.2677658613563069E-2</v>
      </c>
      <c r="AV173" s="10">
        <f t="shared" si="300"/>
        <v>4.441454006876621E-2</v>
      </c>
      <c r="AW173" s="10">
        <f t="shared" si="300"/>
        <v>4.6151421523969359E-2</v>
      </c>
      <c r="AX173" s="10">
        <f t="shared" si="300"/>
        <v>4.7888302979172508E-2</v>
      </c>
      <c r="AY173" s="10">
        <f t="shared" si="300"/>
        <v>4.9625184434375663E-2</v>
      </c>
      <c r="AZ173" s="10">
        <f t="shared" si="300"/>
        <v>4.9625184434375663E-2</v>
      </c>
      <c r="BA173" s="10">
        <f t="shared" si="300"/>
        <v>4.9625184434375663E-2</v>
      </c>
      <c r="BB173" s="10">
        <f t="shared" si="300"/>
        <v>4.9625184434375663E-2</v>
      </c>
      <c r="BC173" s="10">
        <f t="shared" si="300"/>
        <v>4.9625184434375663E-2</v>
      </c>
      <c r="BD173" s="10">
        <f t="shared" si="300"/>
        <v>4.9625184434375663E-2</v>
      </c>
      <c r="BE173" s="10">
        <f t="shared" si="300"/>
        <v>4.9625184434375663E-2</v>
      </c>
      <c r="BF173" s="10">
        <f t="shared" si="300"/>
        <v>4.9625184434375663E-2</v>
      </c>
      <c r="BG173" s="10">
        <f t="shared" si="300"/>
        <v>4.9625184434375663E-2</v>
      </c>
      <c r="BH173" s="10">
        <f t="shared" si="300"/>
        <v>4.9625184434375663E-2</v>
      </c>
      <c r="BI173" s="10">
        <f t="shared" si="300"/>
        <v>4.9625184434375663E-2</v>
      </c>
    </row>
    <row r="174" spans="1:61">
      <c r="A174" s="8" t="s">
        <v>496</v>
      </c>
      <c r="B174" s="129" t="s">
        <v>510</v>
      </c>
      <c r="C174" s="13"/>
      <c r="D174" s="13"/>
      <c r="E174" s="13"/>
      <c r="F174" s="13"/>
      <c r="G174" s="13"/>
      <c r="H174" s="13"/>
      <c r="I174" s="13"/>
      <c r="J174" s="13"/>
      <c r="K174" s="13"/>
      <c r="L174" s="13"/>
      <c r="M174" s="13"/>
      <c r="N174" s="13"/>
      <c r="O174" s="13"/>
      <c r="P174" s="13"/>
      <c r="Q174" s="93"/>
      <c r="R174" s="93"/>
      <c r="S174" s="93"/>
      <c r="T174" s="10">
        <f t="shared" ref="T174:BI174" si="301">T$9*(T159*10^-6)</f>
        <v>8.2502133668312227E-3</v>
      </c>
      <c r="U174" s="10">
        <f t="shared" si="301"/>
        <v>8.4576278093200855E-3</v>
      </c>
      <c r="V174" s="10">
        <f t="shared" si="301"/>
        <v>1.0684727367168542E-2</v>
      </c>
      <c r="W174" s="10">
        <f t="shared" si="301"/>
        <v>1.2447839174948993E-2</v>
      </c>
      <c r="X174" s="10">
        <f t="shared" si="301"/>
        <v>1.4178302250936754E-2</v>
      </c>
      <c r="Y174" s="10">
        <f t="shared" si="301"/>
        <v>1.5876116595131832E-2</v>
      </c>
      <c r="Z174" s="10">
        <f t="shared" si="301"/>
        <v>1.7334972676033341E-2</v>
      </c>
      <c r="AA174" s="10">
        <f t="shared" si="301"/>
        <v>1.8718667758045014E-2</v>
      </c>
      <c r="AB174" s="10">
        <f t="shared" si="301"/>
        <v>2.0027201841166846E-2</v>
      </c>
      <c r="AC174" s="10">
        <f t="shared" si="301"/>
        <v>2.1260574925398845E-2</v>
      </c>
      <c r="AD174" s="10">
        <f t="shared" si="301"/>
        <v>2.2418787010741001E-2</v>
      </c>
      <c r="AE174" s="10">
        <f t="shared" si="301"/>
        <v>2.2952394003722024E-2</v>
      </c>
      <c r="AF174" s="10">
        <f t="shared" si="301"/>
        <v>2.429752860339366E-2</v>
      </c>
      <c r="AG174" s="10">
        <f t="shared" si="301"/>
        <v>2.539579313972094E-2</v>
      </c>
      <c r="AH174" s="10">
        <f t="shared" si="301"/>
        <v>2.6247187612703851E-2</v>
      </c>
      <c r="AI174" s="10">
        <f t="shared" si="301"/>
        <v>2.6851712022342409E-2</v>
      </c>
      <c r="AJ174" s="10">
        <f t="shared" si="301"/>
        <v>2.7981367501608061E-2</v>
      </c>
      <c r="AK174" s="10">
        <f t="shared" si="301"/>
        <v>2.8905686170009503E-2</v>
      </c>
      <c r="AL174" s="10">
        <f t="shared" si="301"/>
        <v>2.9698844027608445E-2</v>
      </c>
      <c r="AM174" s="10">
        <f t="shared" si="301"/>
        <v>3.0360841074404891E-2</v>
      </c>
      <c r="AN174" s="10">
        <f t="shared" si="301"/>
        <v>3.0891677310398845E-2</v>
      </c>
      <c r="AO174" s="10">
        <f t="shared" si="301"/>
        <v>3.2566527285059023E-2</v>
      </c>
      <c r="AP174" s="10">
        <f t="shared" si="301"/>
        <v>3.4241377259719208E-2</v>
      </c>
      <c r="AQ174" s="10">
        <f t="shared" si="301"/>
        <v>3.5916227234379386E-2</v>
      </c>
      <c r="AR174" s="10">
        <f t="shared" si="301"/>
        <v>3.7591077209039564E-2</v>
      </c>
      <c r="AS174" s="10">
        <f t="shared" si="301"/>
        <v>3.9265927183699742E-2</v>
      </c>
      <c r="AT174" s="10">
        <f t="shared" si="301"/>
        <v>4.094077715835992E-2</v>
      </c>
      <c r="AU174" s="10">
        <f t="shared" si="301"/>
        <v>4.2677658613563069E-2</v>
      </c>
      <c r="AV174" s="10">
        <f t="shared" si="301"/>
        <v>4.441454006876621E-2</v>
      </c>
      <c r="AW174" s="10">
        <f t="shared" si="301"/>
        <v>4.6151421523969359E-2</v>
      </c>
      <c r="AX174" s="10">
        <f t="shared" si="301"/>
        <v>4.7888302979172508E-2</v>
      </c>
      <c r="AY174" s="10">
        <f t="shared" si="301"/>
        <v>4.9625184434375663E-2</v>
      </c>
      <c r="AZ174" s="10">
        <f t="shared" si="301"/>
        <v>4.9625184434375663E-2</v>
      </c>
      <c r="BA174" s="10">
        <f t="shared" si="301"/>
        <v>4.9625184434375663E-2</v>
      </c>
      <c r="BB174" s="10">
        <f t="shared" si="301"/>
        <v>4.9625184434375663E-2</v>
      </c>
      <c r="BC174" s="10">
        <f t="shared" si="301"/>
        <v>4.9625184434375663E-2</v>
      </c>
      <c r="BD174" s="10">
        <f t="shared" si="301"/>
        <v>4.9625184434375663E-2</v>
      </c>
      <c r="BE174" s="10">
        <f t="shared" si="301"/>
        <v>4.9625184434375663E-2</v>
      </c>
      <c r="BF174" s="10">
        <f t="shared" si="301"/>
        <v>4.9625184434375663E-2</v>
      </c>
      <c r="BG174" s="10">
        <f t="shared" si="301"/>
        <v>4.9625184434375663E-2</v>
      </c>
      <c r="BH174" s="10">
        <f t="shared" si="301"/>
        <v>4.9625184434375663E-2</v>
      </c>
      <c r="BI174" s="10">
        <f t="shared" si="301"/>
        <v>4.9625184434375663E-2</v>
      </c>
    </row>
    <row r="175" spans="1:61">
      <c r="A175" s="8" t="s">
        <v>497</v>
      </c>
      <c r="B175" s="129" t="s">
        <v>510</v>
      </c>
      <c r="C175" s="13"/>
      <c r="D175" s="13"/>
      <c r="E175" s="13"/>
      <c r="F175" s="13"/>
      <c r="G175" s="13"/>
      <c r="H175" s="13"/>
      <c r="I175" s="13"/>
      <c r="J175" s="13"/>
      <c r="K175" s="13"/>
      <c r="L175" s="13"/>
      <c r="M175" s="13"/>
      <c r="N175" s="13"/>
      <c r="O175" s="13"/>
      <c r="P175" s="13"/>
      <c r="Q175" s="93"/>
      <c r="R175" s="93"/>
      <c r="S175" s="93"/>
      <c r="T175" s="10">
        <f t="shared" ref="T175:BI175" si="302">T$9*(T160*10^-6)</f>
        <v>9.1514971800144649E-3</v>
      </c>
      <c r="U175" s="10">
        <f t="shared" si="302"/>
        <v>9.3815703431113558E-3</v>
      </c>
      <c r="V175" s="10">
        <f t="shared" si="302"/>
        <v>1.1851966491313006E-2</v>
      </c>
      <c r="W175" s="10">
        <f t="shared" si="302"/>
        <v>1.380768715204426E-2</v>
      </c>
      <c r="X175" s="10">
        <f t="shared" si="302"/>
        <v>1.5727192412803799E-2</v>
      </c>
      <c r="Y175" s="10">
        <f t="shared" si="302"/>
        <v>1.7610482273591615E-2</v>
      </c>
      <c r="Z175" s="10">
        <f t="shared" si="302"/>
        <v>1.9228709186860517E-2</v>
      </c>
      <c r="AA175" s="10">
        <f t="shared" si="302"/>
        <v>2.0763564235814637E-2</v>
      </c>
      <c r="AB175" s="10">
        <f t="shared" si="302"/>
        <v>2.2215047420453986E-2</v>
      </c>
      <c r="AC175" s="10">
        <f t="shared" si="302"/>
        <v>2.3583158740778553E-2</v>
      </c>
      <c r="AD175" s="10">
        <f t="shared" si="302"/>
        <v>2.4867898196788342E-2</v>
      </c>
      <c r="AE175" s="10">
        <f t="shared" si="302"/>
        <v>2.5459798390683255E-2</v>
      </c>
      <c r="AF175" s="10">
        <f t="shared" si="302"/>
        <v>2.6951880467629946E-2</v>
      </c>
      <c r="AG175" s="10">
        <f t="shared" si="302"/>
        <v>2.8170123482715668E-2</v>
      </c>
      <c r="AH175" s="10">
        <f t="shared" si="302"/>
        <v>2.9114527435940406E-2</v>
      </c>
      <c r="AI175" s="10">
        <f t="shared" si="302"/>
        <v>2.9785092327304183E-2</v>
      </c>
      <c r="AJ175" s="10">
        <f t="shared" si="302"/>
        <v>3.1038155548002221E-2</v>
      </c>
      <c r="AK175" s="10">
        <f t="shared" si="302"/>
        <v>3.2063450205388692E-2</v>
      </c>
      <c r="AL175" s="10">
        <f t="shared" si="302"/>
        <v>3.2943255560036265E-2</v>
      </c>
      <c r="AM175" s="10">
        <f t="shared" si="302"/>
        <v>3.3677571611944922E-2</v>
      </c>
      <c r="AN175" s="10">
        <f t="shared" si="302"/>
        <v>3.4266398361114683E-2</v>
      </c>
      <c r="AO175" s="10">
        <f t="shared" si="302"/>
        <v>3.6124215139729333E-2</v>
      </c>
      <c r="AP175" s="10">
        <f t="shared" si="302"/>
        <v>3.7982031918343991E-2</v>
      </c>
      <c r="AQ175" s="10">
        <f t="shared" si="302"/>
        <v>3.9839848696958648E-2</v>
      </c>
      <c r="AR175" s="10">
        <f t="shared" si="302"/>
        <v>4.1697665475573298E-2</v>
      </c>
      <c r="AS175" s="10">
        <f t="shared" si="302"/>
        <v>4.3555482254187948E-2</v>
      </c>
      <c r="AT175" s="10">
        <f t="shared" si="302"/>
        <v>4.5413299032802598E-2</v>
      </c>
      <c r="AU175" s="10">
        <f t="shared" si="302"/>
        <v>4.7339923840254837E-2</v>
      </c>
      <c r="AV175" s="10">
        <f t="shared" si="302"/>
        <v>4.9266548647707062E-2</v>
      </c>
      <c r="AW175" s="10">
        <f t="shared" si="302"/>
        <v>5.1193173455159294E-2</v>
      </c>
      <c r="AX175" s="10">
        <f t="shared" si="302"/>
        <v>5.3119798262611519E-2</v>
      </c>
      <c r="AY175" s="10">
        <f t="shared" si="302"/>
        <v>5.5046423070063757E-2</v>
      </c>
      <c r="AZ175" s="10">
        <f t="shared" si="302"/>
        <v>5.5046423070063757E-2</v>
      </c>
      <c r="BA175" s="10">
        <f t="shared" si="302"/>
        <v>5.5046423070063757E-2</v>
      </c>
      <c r="BB175" s="10">
        <f t="shared" si="302"/>
        <v>5.5046423070063757E-2</v>
      </c>
      <c r="BC175" s="10">
        <f t="shared" si="302"/>
        <v>5.5046423070063757E-2</v>
      </c>
      <c r="BD175" s="10">
        <f t="shared" si="302"/>
        <v>5.5046423070063757E-2</v>
      </c>
      <c r="BE175" s="10">
        <f t="shared" si="302"/>
        <v>5.5046423070063757E-2</v>
      </c>
      <c r="BF175" s="10">
        <f t="shared" si="302"/>
        <v>5.5046423070063757E-2</v>
      </c>
      <c r="BG175" s="10">
        <f t="shared" si="302"/>
        <v>5.5046423070063757E-2</v>
      </c>
      <c r="BH175" s="10">
        <f t="shared" si="302"/>
        <v>5.5046423070063757E-2</v>
      </c>
      <c r="BI175" s="10">
        <f t="shared" si="302"/>
        <v>5.5046423070063757E-2</v>
      </c>
    </row>
    <row r="176" spans="1:61">
      <c r="A176" s="8" t="s">
        <v>290</v>
      </c>
      <c r="B176" s="129" t="s">
        <v>510</v>
      </c>
      <c r="C176" s="13"/>
      <c r="D176" s="13"/>
      <c r="E176" s="13"/>
      <c r="F176" s="13"/>
      <c r="G176" s="13"/>
      <c r="H176" s="13"/>
      <c r="I176" s="13"/>
      <c r="J176" s="13"/>
      <c r="K176" s="13"/>
      <c r="L176" s="13"/>
      <c r="M176" s="13"/>
      <c r="N176" s="13"/>
      <c r="O176" s="13"/>
      <c r="P176" s="13"/>
      <c r="Q176" s="93"/>
      <c r="R176" s="93"/>
      <c r="S176" s="93"/>
      <c r="T176" s="10">
        <f t="shared" ref="T176:BI176" si="303">T$9*(T161*10^-6)</f>
        <v>4.2291009695521395E-3</v>
      </c>
      <c r="U176" s="10">
        <f t="shared" si="303"/>
        <v>4.3354226585590357E-3</v>
      </c>
      <c r="V176" s="10">
        <f t="shared" si="303"/>
        <v>5.4770451209855556E-3</v>
      </c>
      <c r="W176" s="10">
        <f t="shared" si="303"/>
        <v>6.3808251232931818E-3</v>
      </c>
      <c r="X176" s="10">
        <f t="shared" si="303"/>
        <v>7.2678692210684228E-3</v>
      </c>
      <c r="Y176" s="10">
        <f t="shared" si="303"/>
        <v>8.1381774143112779E-3</v>
      </c>
      <c r="Z176" s="10">
        <f t="shared" si="303"/>
        <v>8.8859943969582678E-3</v>
      </c>
      <c r="AA176" s="10">
        <f t="shared" si="303"/>
        <v>9.5952834726113125E-3</v>
      </c>
      <c r="AB176" s="10">
        <f t="shared" si="303"/>
        <v>1.0266044641270402E-2</v>
      </c>
      <c r="AC176" s="10">
        <f t="shared" si="303"/>
        <v>1.0898277902935544E-2</v>
      </c>
      <c r="AD176" s="10">
        <f t="shared" si="303"/>
        <v>1.1491983257606734E-2</v>
      </c>
      <c r="AE176" s="10">
        <f t="shared" si="303"/>
        <v>1.1765512892664235E-2</v>
      </c>
      <c r="AF176" s="10">
        <f t="shared" si="303"/>
        <v>1.2455035670647171E-2</v>
      </c>
      <c r="AG176" s="10">
        <f t="shared" si="303"/>
        <v>1.3018011609436785E-2</v>
      </c>
      <c r="AH176" s="10">
        <f t="shared" si="303"/>
        <v>1.3454440709033072E-2</v>
      </c>
      <c r="AI176" s="10">
        <f t="shared" si="303"/>
        <v>1.3764322969436023E-2</v>
      </c>
      <c r="AJ176" s="10">
        <f t="shared" si="303"/>
        <v>1.4343390063849513E-2</v>
      </c>
      <c r="AK176" s="10">
        <f t="shared" si="303"/>
        <v>1.4817200473702354E-2</v>
      </c>
      <c r="AL176" s="10">
        <f t="shared" si="303"/>
        <v>1.5223777190622819E-2</v>
      </c>
      <c r="AM176" s="10">
        <f t="shared" si="303"/>
        <v>1.5563120214610912E-2</v>
      </c>
      <c r="AN176" s="10">
        <f t="shared" si="303"/>
        <v>1.5835229545666636E-2</v>
      </c>
      <c r="AO176" s="10">
        <f t="shared" si="303"/>
        <v>1.6693766087299167E-2</v>
      </c>
      <c r="AP176" s="10">
        <f t="shared" si="303"/>
        <v>1.7552302628931697E-2</v>
      </c>
      <c r="AQ176" s="10">
        <f t="shared" si="303"/>
        <v>1.8410839170564228E-2</v>
      </c>
      <c r="AR176" s="10">
        <f t="shared" si="303"/>
        <v>1.9269375712196755E-2</v>
      </c>
      <c r="AS176" s="10">
        <f t="shared" si="303"/>
        <v>2.0127912253829282E-2</v>
      </c>
      <c r="AT176" s="10">
        <f t="shared" si="303"/>
        <v>2.0986448795461812E-2</v>
      </c>
      <c r="AU176" s="10">
        <f t="shared" si="303"/>
        <v>2.1876782986784433E-2</v>
      </c>
      <c r="AV176" s="10">
        <f t="shared" si="303"/>
        <v>2.2767117178107053E-2</v>
      </c>
      <c r="AW176" s="10">
        <f t="shared" si="303"/>
        <v>2.3657451369429677E-2</v>
      </c>
      <c r="AX176" s="10">
        <f t="shared" si="303"/>
        <v>2.4547785560752298E-2</v>
      </c>
      <c r="AY176" s="10">
        <f t="shared" si="303"/>
        <v>2.5438119752074922E-2</v>
      </c>
      <c r="AZ176" s="10">
        <f t="shared" si="303"/>
        <v>2.5438119752074922E-2</v>
      </c>
      <c r="BA176" s="10">
        <f t="shared" si="303"/>
        <v>2.5438119752074922E-2</v>
      </c>
      <c r="BB176" s="10">
        <f t="shared" si="303"/>
        <v>2.5438119752074922E-2</v>
      </c>
      <c r="BC176" s="10">
        <f t="shared" si="303"/>
        <v>2.5438119752074922E-2</v>
      </c>
      <c r="BD176" s="10">
        <f t="shared" si="303"/>
        <v>2.5438119752074922E-2</v>
      </c>
      <c r="BE176" s="10">
        <f t="shared" si="303"/>
        <v>2.5438119752074922E-2</v>
      </c>
      <c r="BF176" s="10">
        <f t="shared" si="303"/>
        <v>2.5438119752074922E-2</v>
      </c>
      <c r="BG176" s="10">
        <f t="shared" si="303"/>
        <v>2.5438119752074922E-2</v>
      </c>
      <c r="BH176" s="10">
        <f t="shared" si="303"/>
        <v>2.5438119752074922E-2</v>
      </c>
      <c r="BI176" s="10">
        <f t="shared" si="303"/>
        <v>2.5438119752074922E-2</v>
      </c>
    </row>
    <row r="177" spans="1:61">
      <c r="A177" s="718" t="s">
        <v>503</v>
      </c>
      <c r="B177" s="685" t="s">
        <v>328</v>
      </c>
      <c r="C177" s="671"/>
      <c r="D177" s="671"/>
      <c r="E177" s="671"/>
      <c r="F177" s="671"/>
      <c r="G177" s="671"/>
      <c r="H177" s="671"/>
      <c r="I177" s="671"/>
      <c r="J177" s="671"/>
      <c r="K177" s="671"/>
      <c r="L177" s="671"/>
      <c r="M177" s="671"/>
      <c r="N177" s="671"/>
      <c r="O177" s="671"/>
      <c r="P177" s="674"/>
      <c r="Q177" s="6"/>
      <c r="R177" s="6"/>
      <c r="S177" s="6"/>
      <c r="T177" s="6">
        <v>2020</v>
      </c>
      <c r="U177" s="6">
        <f>T177+1</f>
        <v>2021</v>
      </c>
      <c r="V177" s="6">
        <f t="shared" ref="V177" si="304">U177+1</f>
        <v>2022</v>
      </c>
      <c r="W177" s="6">
        <f t="shared" ref="W177" si="305">V177+1</f>
        <v>2023</v>
      </c>
      <c r="X177" s="6">
        <f t="shared" ref="X177" si="306">W177+1</f>
        <v>2024</v>
      </c>
      <c r="Y177" s="6">
        <f t="shared" ref="Y177" si="307">X177+1</f>
        <v>2025</v>
      </c>
      <c r="Z177" s="6">
        <f t="shared" ref="Z177" si="308">Y177+1</f>
        <v>2026</v>
      </c>
      <c r="AA177" s="6">
        <f t="shared" ref="AA177" si="309">Z177+1</f>
        <v>2027</v>
      </c>
      <c r="AB177" s="6">
        <f t="shared" ref="AB177" si="310">AA177+1</f>
        <v>2028</v>
      </c>
      <c r="AC177" s="6">
        <f t="shared" ref="AC177" si="311">AB177+1</f>
        <v>2029</v>
      </c>
      <c r="AD177" s="6">
        <f t="shared" ref="AD177" si="312">AC177+1</f>
        <v>2030</v>
      </c>
      <c r="AE177" s="6">
        <f t="shared" ref="AE177" si="313">AD177+1</f>
        <v>2031</v>
      </c>
      <c r="AF177" s="6">
        <f t="shared" ref="AF177" si="314">AE177+1</f>
        <v>2032</v>
      </c>
      <c r="AG177" s="6">
        <f t="shared" ref="AG177" si="315">AF177+1</f>
        <v>2033</v>
      </c>
      <c r="AH177" s="6">
        <f t="shared" ref="AH177" si="316">AG177+1</f>
        <v>2034</v>
      </c>
      <c r="AI177" s="6">
        <f t="shared" ref="AI177" si="317">AH177+1</f>
        <v>2035</v>
      </c>
      <c r="AJ177" s="6">
        <f t="shared" ref="AJ177" si="318">AI177+1</f>
        <v>2036</v>
      </c>
      <c r="AK177" s="6">
        <f t="shared" ref="AK177" si="319">AJ177+1</f>
        <v>2037</v>
      </c>
      <c r="AL177" s="6">
        <f t="shared" ref="AL177" si="320">AK177+1</f>
        <v>2038</v>
      </c>
      <c r="AM177" s="6">
        <f t="shared" ref="AM177" si="321">AL177+1</f>
        <v>2039</v>
      </c>
      <c r="AN177" s="6">
        <f t="shared" ref="AN177" si="322">AM177+1</f>
        <v>2040</v>
      </c>
      <c r="AO177" s="6">
        <f t="shared" ref="AO177" si="323">AN177+1</f>
        <v>2041</v>
      </c>
      <c r="AP177" s="6">
        <f t="shared" ref="AP177" si="324">AO177+1</f>
        <v>2042</v>
      </c>
      <c r="AQ177" s="6">
        <f t="shared" ref="AQ177" si="325">AP177+1</f>
        <v>2043</v>
      </c>
      <c r="AR177" s="6">
        <f t="shared" ref="AR177" si="326">AQ177+1</f>
        <v>2044</v>
      </c>
      <c r="AS177" s="6">
        <f t="shared" ref="AS177" si="327">AR177+1</f>
        <v>2045</v>
      </c>
      <c r="AT177" s="6">
        <f t="shared" ref="AT177" si="328">AS177+1</f>
        <v>2046</v>
      </c>
      <c r="AU177" s="6">
        <f t="shared" ref="AU177" si="329">AT177+1</f>
        <v>2047</v>
      </c>
      <c r="AV177" s="6">
        <f t="shared" ref="AV177" si="330">AU177+1</f>
        <v>2048</v>
      </c>
      <c r="AW177" s="6">
        <f t="shared" ref="AW177" si="331">AV177+1</f>
        <v>2049</v>
      </c>
      <c r="AX177" s="6">
        <f t="shared" ref="AX177" si="332">AW177+1</f>
        <v>2050</v>
      </c>
      <c r="AY177" s="6">
        <f t="shared" ref="AY177" si="333">AX177+1</f>
        <v>2051</v>
      </c>
      <c r="AZ177" s="6">
        <f t="shared" ref="AZ177" si="334">AY177+1</f>
        <v>2052</v>
      </c>
      <c r="BA177" s="6">
        <f t="shared" ref="BA177" si="335">AZ177+1</f>
        <v>2053</v>
      </c>
      <c r="BB177" s="6">
        <f t="shared" ref="BB177" si="336">BA177+1</f>
        <v>2054</v>
      </c>
      <c r="BC177" s="6">
        <f t="shared" ref="BC177" si="337">BB177+1</f>
        <v>2055</v>
      </c>
      <c r="BD177" s="6">
        <f t="shared" ref="BD177" si="338">BC177+1</f>
        <v>2056</v>
      </c>
      <c r="BE177" s="6">
        <f t="shared" ref="BE177" si="339">BD177+1</f>
        <v>2057</v>
      </c>
      <c r="BF177" s="6">
        <f t="shared" ref="BF177" si="340">BE177+1</f>
        <v>2058</v>
      </c>
      <c r="BG177" s="6">
        <f t="shared" ref="BG177" si="341">BF177+1</f>
        <v>2059</v>
      </c>
      <c r="BH177" s="6">
        <f t="shared" ref="BH177" si="342">BG177+1</f>
        <v>2060</v>
      </c>
      <c r="BI177" s="6">
        <f t="shared" ref="BI177" si="343">BH177+1</f>
        <v>2061</v>
      </c>
    </row>
    <row r="178" spans="1:61">
      <c r="A178" s="719"/>
      <c r="B178" s="686" t="s">
        <v>530</v>
      </c>
      <c r="C178" s="681"/>
      <c r="D178" s="681"/>
      <c r="E178" s="681"/>
      <c r="F178" s="681"/>
      <c r="G178" s="681"/>
      <c r="H178" s="681"/>
      <c r="I178" s="681"/>
      <c r="J178" s="681"/>
      <c r="K178" s="681"/>
      <c r="L178" s="681"/>
      <c r="M178" s="681"/>
      <c r="N178" s="681"/>
      <c r="O178" s="681"/>
      <c r="P178" s="687"/>
      <c r="Q178" s="683">
        <f>DATE(2016,12,31)</f>
        <v>42735</v>
      </c>
      <c r="R178" s="683">
        <f>DATE(YEAR(Q178+1),12,31)</f>
        <v>43100</v>
      </c>
      <c r="S178" s="683">
        <f t="shared" ref="S178" si="344">DATE(YEAR(R178+1),12,31)</f>
        <v>43465</v>
      </c>
      <c r="T178" s="683">
        <f>DATE(YEAR(S178+1),12,31)</f>
        <v>43830</v>
      </c>
      <c r="U178" s="683">
        <f t="shared" ref="U178:BI178" si="345">DATE(YEAR(T178+1),12,31)</f>
        <v>44196</v>
      </c>
      <c r="V178" s="683">
        <f t="shared" si="345"/>
        <v>44561</v>
      </c>
      <c r="W178" s="683">
        <f t="shared" si="345"/>
        <v>44926</v>
      </c>
      <c r="X178" s="683">
        <f t="shared" si="345"/>
        <v>45291</v>
      </c>
      <c r="Y178" s="683">
        <f t="shared" si="345"/>
        <v>45657</v>
      </c>
      <c r="Z178" s="683">
        <f t="shared" si="345"/>
        <v>46022</v>
      </c>
      <c r="AA178" s="683">
        <f t="shared" si="345"/>
        <v>46387</v>
      </c>
      <c r="AB178" s="683">
        <f t="shared" si="345"/>
        <v>46752</v>
      </c>
      <c r="AC178" s="683">
        <f t="shared" si="345"/>
        <v>47118</v>
      </c>
      <c r="AD178" s="683">
        <f t="shared" si="345"/>
        <v>47483</v>
      </c>
      <c r="AE178" s="683">
        <f t="shared" si="345"/>
        <v>47848</v>
      </c>
      <c r="AF178" s="683">
        <f t="shared" si="345"/>
        <v>48213</v>
      </c>
      <c r="AG178" s="683">
        <f t="shared" si="345"/>
        <v>48579</v>
      </c>
      <c r="AH178" s="683">
        <f t="shared" si="345"/>
        <v>48944</v>
      </c>
      <c r="AI178" s="683">
        <f t="shared" si="345"/>
        <v>49309</v>
      </c>
      <c r="AJ178" s="683">
        <f t="shared" si="345"/>
        <v>49674</v>
      </c>
      <c r="AK178" s="683">
        <f t="shared" si="345"/>
        <v>50040</v>
      </c>
      <c r="AL178" s="683">
        <f t="shared" si="345"/>
        <v>50405</v>
      </c>
      <c r="AM178" s="683">
        <f t="shared" si="345"/>
        <v>50770</v>
      </c>
      <c r="AN178" s="683">
        <f t="shared" si="345"/>
        <v>51135</v>
      </c>
      <c r="AO178" s="683">
        <f t="shared" si="345"/>
        <v>51501</v>
      </c>
      <c r="AP178" s="683">
        <f t="shared" si="345"/>
        <v>51866</v>
      </c>
      <c r="AQ178" s="683">
        <f t="shared" si="345"/>
        <v>52231</v>
      </c>
      <c r="AR178" s="683">
        <f t="shared" si="345"/>
        <v>52596</v>
      </c>
      <c r="AS178" s="683">
        <f t="shared" si="345"/>
        <v>52962</v>
      </c>
      <c r="AT178" s="683">
        <f t="shared" si="345"/>
        <v>53327</v>
      </c>
      <c r="AU178" s="683">
        <f t="shared" si="345"/>
        <v>53692</v>
      </c>
      <c r="AV178" s="683">
        <f t="shared" si="345"/>
        <v>54057</v>
      </c>
      <c r="AW178" s="683">
        <f t="shared" si="345"/>
        <v>54423</v>
      </c>
      <c r="AX178" s="683">
        <f t="shared" si="345"/>
        <v>54788</v>
      </c>
      <c r="AY178" s="683">
        <f t="shared" si="345"/>
        <v>55153</v>
      </c>
      <c r="AZ178" s="683">
        <f t="shared" si="345"/>
        <v>55518</v>
      </c>
      <c r="BA178" s="683">
        <f t="shared" si="345"/>
        <v>55884</v>
      </c>
      <c r="BB178" s="683">
        <f t="shared" si="345"/>
        <v>56249</v>
      </c>
      <c r="BC178" s="683">
        <f t="shared" si="345"/>
        <v>56614</v>
      </c>
      <c r="BD178" s="683">
        <f t="shared" si="345"/>
        <v>56979</v>
      </c>
      <c r="BE178" s="683">
        <f t="shared" si="345"/>
        <v>57345</v>
      </c>
      <c r="BF178" s="683">
        <f t="shared" si="345"/>
        <v>57710</v>
      </c>
      <c r="BG178" s="683">
        <f t="shared" si="345"/>
        <v>58075</v>
      </c>
      <c r="BH178" s="683">
        <f t="shared" si="345"/>
        <v>58440</v>
      </c>
      <c r="BI178" s="683">
        <f t="shared" si="345"/>
        <v>58806</v>
      </c>
    </row>
    <row r="179" spans="1:61">
      <c r="A179" s="8" t="s">
        <v>494</v>
      </c>
      <c r="B179" s="129" t="s">
        <v>510</v>
      </c>
      <c r="C179" s="13"/>
      <c r="D179" s="13"/>
      <c r="E179" s="13"/>
      <c r="F179" s="13"/>
      <c r="G179" s="13"/>
      <c r="H179" s="13"/>
      <c r="I179" s="13"/>
      <c r="J179" s="13"/>
      <c r="K179" s="13"/>
      <c r="L179" s="13"/>
      <c r="M179" s="13"/>
      <c r="N179" s="13"/>
      <c r="O179" s="13"/>
      <c r="P179" s="13"/>
      <c r="Q179" s="93"/>
      <c r="R179" s="93"/>
      <c r="S179" s="93"/>
      <c r="T179" s="10">
        <f>T$9*(T164*10^-6)</f>
        <v>3.3843621066693669E-2</v>
      </c>
      <c r="U179" s="10">
        <f t="shared" ref="U179:BI179" si="346">U$9*(U164*10^-6)</f>
        <v>3.4994304182961254E-2</v>
      </c>
      <c r="V179" s="10">
        <f t="shared" si="346"/>
        <v>4.4594554106754385E-2</v>
      </c>
      <c r="W179" s="10">
        <f t="shared" si="346"/>
        <v>5.2410094517216496E-2</v>
      </c>
      <c r="X179" s="10">
        <f t="shared" si="346"/>
        <v>6.0225634927678601E-2</v>
      </c>
      <c r="Y179" s="10">
        <f t="shared" si="346"/>
        <v>6.8041175338140705E-2</v>
      </c>
      <c r="Z179" s="10">
        <f t="shared" si="346"/>
        <v>7.5856715748602824E-2</v>
      </c>
      <c r="AA179" s="10">
        <f t="shared" si="346"/>
        <v>8.3672256159064928E-2</v>
      </c>
      <c r="AB179" s="10">
        <f t="shared" si="346"/>
        <v>9.1487796569527033E-2</v>
      </c>
      <c r="AC179" s="10">
        <f t="shared" si="346"/>
        <v>9.9303336979989137E-2</v>
      </c>
      <c r="AD179" s="10">
        <f t="shared" si="346"/>
        <v>0.10711887739045124</v>
      </c>
      <c r="AE179" s="10">
        <f t="shared" si="346"/>
        <v>0.11493441780091336</v>
      </c>
      <c r="AF179" s="10">
        <f t="shared" si="346"/>
        <v>0.12780707259461566</v>
      </c>
      <c r="AG179" s="10">
        <f t="shared" si="346"/>
        <v>0.14067972738831797</v>
      </c>
      <c r="AH179" s="10">
        <f t="shared" si="346"/>
        <v>0.15355238218202025</v>
      </c>
      <c r="AI179" s="10">
        <f t="shared" si="346"/>
        <v>0.16642503697572253</v>
      </c>
      <c r="AJ179" s="10">
        <f t="shared" si="346"/>
        <v>0.17929769176942484</v>
      </c>
      <c r="AK179" s="10">
        <f t="shared" si="346"/>
        <v>0.19171060889192348</v>
      </c>
      <c r="AL179" s="10">
        <f t="shared" si="346"/>
        <v>0.20412352601442213</v>
      </c>
      <c r="AM179" s="10">
        <f t="shared" si="346"/>
        <v>0.21653644313692075</v>
      </c>
      <c r="AN179" s="10">
        <f t="shared" si="346"/>
        <v>0.22894936025941939</v>
      </c>
      <c r="AO179" s="10">
        <f t="shared" si="346"/>
        <v>0.24136227738191801</v>
      </c>
      <c r="AP179" s="10">
        <f t="shared" si="346"/>
        <v>0.25377519450441671</v>
      </c>
      <c r="AQ179" s="10">
        <f t="shared" si="346"/>
        <v>0.26618811162691536</v>
      </c>
      <c r="AR179" s="10">
        <f t="shared" si="346"/>
        <v>0.278601028749414</v>
      </c>
      <c r="AS179" s="10">
        <f t="shared" si="346"/>
        <v>0.29101394587191265</v>
      </c>
      <c r="AT179" s="10">
        <f t="shared" si="346"/>
        <v>0.30342686299441129</v>
      </c>
      <c r="AU179" s="10">
        <f t="shared" si="346"/>
        <v>0.3162995177881136</v>
      </c>
      <c r="AV179" s="10">
        <f t="shared" si="346"/>
        <v>0.32917217258181586</v>
      </c>
      <c r="AW179" s="10">
        <f t="shared" si="346"/>
        <v>0.34204482737551817</v>
      </c>
      <c r="AX179" s="10">
        <f t="shared" si="346"/>
        <v>0.35491748216922042</v>
      </c>
      <c r="AY179" s="10">
        <f t="shared" si="346"/>
        <v>0.36779013696292279</v>
      </c>
      <c r="AZ179" s="10">
        <f t="shared" si="346"/>
        <v>0.36779013696292279</v>
      </c>
      <c r="BA179" s="10">
        <f t="shared" si="346"/>
        <v>0.36779013696292279</v>
      </c>
      <c r="BB179" s="10">
        <f t="shared" si="346"/>
        <v>0.36779013696292279</v>
      </c>
      <c r="BC179" s="10">
        <f t="shared" si="346"/>
        <v>0.36779013696292279</v>
      </c>
      <c r="BD179" s="10">
        <f t="shared" si="346"/>
        <v>0.36779013696292279</v>
      </c>
      <c r="BE179" s="10">
        <f t="shared" si="346"/>
        <v>0.36779013696292279</v>
      </c>
      <c r="BF179" s="10">
        <f t="shared" si="346"/>
        <v>0.36779013696292279</v>
      </c>
      <c r="BG179" s="10">
        <f t="shared" si="346"/>
        <v>0.36779013696292279</v>
      </c>
      <c r="BH179" s="10">
        <f t="shared" si="346"/>
        <v>0.36779013696292279</v>
      </c>
      <c r="BI179" s="10">
        <f t="shared" si="346"/>
        <v>0.36779013696292279</v>
      </c>
    </row>
    <row r="180" spans="1:61">
      <c r="A180" s="8" t="s">
        <v>496</v>
      </c>
      <c r="B180" s="129" t="s">
        <v>510</v>
      </c>
      <c r="C180" s="13"/>
      <c r="D180" s="13"/>
      <c r="E180" s="13"/>
      <c r="F180" s="13"/>
      <c r="G180" s="13"/>
      <c r="H180" s="13"/>
      <c r="I180" s="13"/>
      <c r="J180" s="13"/>
      <c r="K180" s="13"/>
      <c r="L180" s="13"/>
      <c r="M180" s="13"/>
      <c r="N180" s="13"/>
      <c r="O180" s="13"/>
      <c r="P180" s="13"/>
      <c r="Q180" s="93"/>
      <c r="R180" s="93"/>
      <c r="S180" s="93"/>
      <c r="T180" s="10">
        <f t="shared" ref="T180:BI180" si="347">T$9*(T165*10^-6)</f>
        <v>3.3843621066693669E-2</v>
      </c>
      <c r="U180" s="10">
        <f t="shared" si="347"/>
        <v>3.4994304182961254E-2</v>
      </c>
      <c r="V180" s="10">
        <f t="shared" si="347"/>
        <v>4.4594554106754385E-2</v>
      </c>
      <c r="W180" s="10">
        <f t="shared" si="347"/>
        <v>5.2410094517216496E-2</v>
      </c>
      <c r="X180" s="10">
        <f t="shared" si="347"/>
        <v>6.0225634927678601E-2</v>
      </c>
      <c r="Y180" s="10">
        <f t="shared" si="347"/>
        <v>6.8041175338140705E-2</v>
      </c>
      <c r="Z180" s="10">
        <f t="shared" si="347"/>
        <v>7.5856715748602824E-2</v>
      </c>
      <c r="AA180" s="10">
        <f t="shared" si="347"/>
        <v>8.3672256159064928E-2</v>
      </c>
      <c r="AB180" s="10">
        <f t="shared" si="347"/>
        <v>9.1487796569527033E-2</v>
      </c>
      <c r="AC180" s="10">
        <f t="shared" si="347"/>
        <v>9.9303336979989137E-2</v>
      </c>
      <c r="AD180" s="10">
        <f t="shared" si="347"/>
        <v>0.10711887739045124</v>
      </c>
      <c r="AE180" s="10">
        <f t="shared" si="347"/>
        <v>0.11493441780091336</v>
      </c>
      <c r="AF180" s="10">
        <f t="shared" si="347"/>
        <v>0.12780707259461566</v>
      </c>
      <c r="AG180" s="10">
        <f t="shared" si="347"/>
        <v>0.14067972738831797</v>
      </c>
      <c r="AH180" s="10">
        <f t="shared" si="347"/>
        <v>0.15355238218202025</v>
      </c>
      <c r="AI180" s="10">
        <f t="shared" si="347"/>
        <v>0.16642503697572253</v>
      </c>
      <c r="AJ180" s="10">
        <f t="shared" si="347"/>
        <v>0.17929769176942484</v>
      </c>
      <c r="AK180" s="10">
        <f t="shared" si="347"/>
        <v>0.19171060889192348</v>
      </c>
      <c r="AL180" s="10">
        <f t="shared" si="347"/>
        <v>0.20412352601442213</v>
      </c>
      <c r="AM180" s="10">
        <f t="shared" si="347"/>
        <v>0.21653644313692075</v>
      </c>
      <c r="AN180" s="10">
        <f t="shared" si="347"/>
        <v>0.22894936025941939</v>
      </c>
      <c r="AO180" s="10">
        <f t="shared" si="347"/>
        <v>0.24136227738191801</v>
      </c>
      <c r="AP180" s="10">
        <f t="shared" si="347"/>
        <v>0.25377519450441671</v>
      </c>
      <c r="AQ180" s="10">
        <f t="shared" si="347"/>
        <v>0.26618811162691536</v>
      </c>
      <c r="AR180" s="10">
        <f t="shared" si="347"/>
        <v>0.278601028749414</v>
      </c>
      <c r="AS180" s="10">
        <f t="shared" si="347"/>
        <v>0.29101394587191265</v>
      </c>
      <c r="AT180" s="10">
        <f t="shared" si="347"/>
        <v>0.30342686299441129</v>
      </c>
      <c r="AU180" s="10">
        <f t="shared" si="347"/>
        <v>0.3162995177881136</v>
      </c>
      <c r="AV180" s="10">
        <f t="shared" si="347"/>
        <v>0.32917217258181586</v>
      </c>
      <c r="AW180" s="10">
        <f t="shared" si="347"/>
        <v>0.34204482737551817</v>
      </c>
      <c r="AX180" s="10">
        <f t="shared" si="347"/>
        <v>0.35491748216922042</v>
      </c>
      <c r="AY180" s="10">
        <f t="shared" si="347"/>
        <v>0.36779013696292279</v>
      </c>
      <c r="AZ180" s="10">
        <f t="shared" si="347"/>
        <v>0.36779013696292279</v>
      </c>
      <c r="BA180" s="10">
        <f t="shared" si="347"/>
        <v>0.36779013696292279</v>
      </c>
      <c r="BB180" s="10">
        <f t="shared" si="347"/>
        <v>0.36779013696292279</v>
      </c>
      <c r="BC180" s="10">
        <f t="shared" si="347"/>
        <v>0.36779013696292279</v>
      </c>
      <c r="BD180" s="10">
        <f t="shared" si="347"/>
        <v>0.36779013696292279</v>
      </c>
      <c r="BE180" s="10">
        <f t="shared" si="347"/>
        <v>0.36779013696292279</v>
      </c>
      <c r="BF180" s="10">
        <f t="shared" si="347"/>
        <v>0.36779013696292279</v>
      </c>
      <c r="BG180" s="10">
        <f t="shared" si="347"/>
        <v>0.36779013696292279</v>
      </c>
      <c r="BH180" s="10">
        <f t="shared" si="347"/>
        <v>0.36779013696292279</v>
      </c>
      <c r="BI180" s="10">
        <f t="shared" si="347"/>
        <v>0.36779013696292279</v>
      </c>
    </row>
    <row r="181" spans="1:61">
      <c r="A181" s="8" t="s">
        <v>497</v>
      </c>
      <c r="B181" s="129" t="s">
        <v>510</v>
      </c>
      <c r="C181" s="13"/>
      <c r="D181" s="13"/>
      <c r="E181" s="13"/>
      <c r="F181" s="13"/>
      <c r="G181" s="13"/>
      <c r="H181" s="13"/>
      <c r="I181" s="13"/>
      <c r="J181" s="13"/>
      <c r="K181" s="13"/>
      <c r="L181" s="13"/>
      <c r="M181" s="13"/>
      <c r="N181" s="13"/>
      <c r="O181" s="13"/>
      <c r="P181" s="13"/>
      <c r="Q181" s="93"/>
      <c r="R181" s="93"/>
      <c r="S181" s="93"/>
      <c r="T181" s="10">
        <f t="shared" ref="T181:BI181" si="348">T$9*(T166*10^-6)</f>
        <v>3.3644162182039326E-2</v>
      </c>
      <c r="U181" s="10">
        <f t="shared" si="348"/>
        <v>3.4788063696228659E-2</v>
      </c>
      <c r="V181" s="10">
        <f t="shared" si="348"/>
        <v>4.4331734120492787E-2</v>
      </c>
      <c r="W181" s="10">
        <f t="shared" si="348"/>
        <v>5.2101213296249262E-2</v>
      </c>
      <c r="X181" s="10">
        <f t="shared" si="348"/>
        <v>5.9870692472005715E-2</v>
      </c>
      <c r="Y181" s="10">
        <f t="shared" si="348"/>
        <v>6.764017164776219E-2</v>
      </c>
      <c r="Z181" s="10">
        <f t="shared" si="348"/>
        <v>7.5409650823518665E-2</v>
      </c>
      <c r="AA181" s="10">
        <f t="shared" si="348"/>
        <v>8.3179129999275125E-2</v>
      </c>
      <c r="AB181" s="10">
        <f t="shared" si="348"/>
        <v>9.0948609175031586E-2</v>
      </c>
      <c r="AC181" s="10">
        <f t="shared" si="348"/>
        <v>9.8718088350788061E-2</v>
      </c>
      <c r="AD181" s="10">
        <f t="shared" si="348"/>
        <v>0.10648756752654452</v>
      </c>
      <c r="AE181" s="10">
        <f t="shared" si="348"/>
        <v>0.114257046702301</v>
      </c>
      <c r="AF181" s="10">
        <f t="shared" si="348"/>
        <v>0.12705383593295869</v>
      </c>
      <c r="AG181" s="10">
        <f t="shared" si="348"/>
        <v>0.1398506251636164</v>
      </c>
      <c r="AH181" s="10">
        <f t="shared" si="348"/>
        <v>0.15264741439427412</v>
      </c>
      <c r="AI181" s="10">
        <f t="shared" si="348"/>
        <v>0.16544420362493184</v>
      </c>
      <c r="AJ181" s="10">
        <f t="shared" si="348"/>
        <v>0.17824099285558953</v>
      </c>
      <c r="AK181" s="10">
        <f t="shared" si="348"/>
        <v>0.19058075389943804</v>
      </c>
      <c r="AL181" s="10">
        <f t="shared" si="348"/>
        <v>0.20292051494328656</v>
      </c>
      <c r="AM181" s="10">
        <f t="shared" si="348"/>
        <v>0.21526027598713504</v>
      </c>
      <c r="AN181" s="10">
        <f t="shared" si="348"/>
        <v>0.22760003703098355</v>
      </c>
      <c r="AO181" s="10">
        <f t="shared" si="348"/>
        <v>0.23993979807483204</v>
      </c>
      <c r="AP181" s="10">
        <f t="shared" si="348"/>
        <v>0.25227955911868061</v>
      </c>
      <c r="AQ181" s="10">
        <f t="shared" si="348"/>
        <v>0.26461932016252915</v>
      </c>
      <c r="AR181" s="10">
        <f t="shared" si="348"/>
        <v>0.27695908120637763</v>
      </c>
      <c r="AS181" s="10">
        <f t="shared" si="348"/>
        <v>0.28929884225022612</v>
      </c>
      <c r="AT181" s="10">
        <f t="shared" si="348"/>
        <v>0.30163860329407466</v>
      </c>
      <c r="AU181" s="10">
        <f t="shared" si="348"/>
        <v>0.31443539252473235</v>
      </c>
      <c r="AV181" s="10">
        <f t="shared" si="348"/>
        <v>0.32723218175539004</v>
      </c>
      <c r="AW181" s="10">
        <f t="shared" si="348"/>
        <v>0.34002897098604773</v>
      </c>
      <c r="AX181" s="10">
        <f t="shared" si="348"/>
        <v>0.35282576021670542</v>
      </c>
      <c r="AY181" s="10">
        <f t="shared" si="348"/>
        <v>0.36562254944736317</v>
      </c>
      <c r="AZ181" s="10">
        <f t="shared" si="348"/>
        <v>0.36562254944736317</v>
      </c>
      <c r="BA181" s="10">
        <f t="shared" si="348"/>
        <v>0.36562254944736317</v>
      </c>
      <c r="BB181" s="10">
        <f t="shared" si="348"/>
        <v>0.36562254944736317</v>
      </c>
      <c r="BC181" s="10">
        <f t="shared" si="348"/>
        <v>0.36562254944736317</v>
      </c>
      <c r="BD181" s="10">
        <f t="shared" si="348"/>
        <v>0.36562254944736317</v>
      </c>
      <c r="BE181" s="10">
        <f t="shared" si="348"/>
        <v>0.36562254944736317</v>
      </c>
      <c r="BF181" s="10">
        <f t="shared" si="348"/>
        <v>0.36562254944736317</v>
      </c>
      <c r="BG181" s="10">
        <f t="shared" si="348"/>
        <v>0.36562254944736317</v>
      </c>
      <c r="BH181" s="10">
        <f t="shared" si="348"/>
        <v>0.36562254944736317</v>
      </c>
      <c r="BI181" s="10">
        <f t="shared" si="348"/>
        <v>0.36562254944736317</v>
      </c>
    </row>
    <row r="182" spans="1:61">
      <c r="A182" s="8" t="s">
        <v>290</v>
      </c>
      <c r="B182" s="129" t="s">
        <v>510</v>
      </c>
      <c r="C182" s="13"/>
      <c r="D182" s="13"/>
      <c r="E182" s="13"/>
      <c r="F182" s="13"/>
      <c r="G182" s="13"/>
      <c r="H182" s="13"/>
      <c r="I182" s="13"/>
      <c r="J182" s="13"/>
      <c r="K182" s="13"/>
      <c r="L182" s="13"/>
      <c r="M182" s="13"/>
      <c r="N182" s="13"/>
      <c r="O182" s="13"/>
      <c r="P182" s="13"/>
      <c r="Q182" s="93"/>
      <c r="R182" s="93"/>
      <c r="S182" s="93"/>
      <c r="T182" s="10">
        <f t="shared" ref="T182:BI182" si="349">T$9*(T167*10^-6)</f>
        <v>1.1635817041776254E-2</v>
      </c>
      <c r="U182" s="10">
        <f t="shared" si="349"/>
        <v>1.2031434821196646E-2</v>
      </c>
      <c r="V182" s="10">
        <f t="shared" si="349"/>
        <v>1.5332108571456679E-2</v>
      </c>
      <c r="W182" s="10">
        <f t="shared" si="349"/>
        <v>1.8019179145835687E-2</v>
      </c>
      <c r="X182" s="10">
        <f t="shared" si="349"/>
        <v>2.0706249720214689E-2</v>
      </c>
      <c r="Y182" s="10">
        <f t="shared" si="349"/>
        <v>2.3393320294593695E-2</v>
      </c>
      <c r="Z182" s="10">
        <f t="shared" si="349"/>
        <v>2.6080390868972701E-2</v>
      </c>
      <c r="AA182" s="10">
        <f t="shared" si="349"/>
        <v>2.8767461443351711E-2</v>
      </c>
      <c r="AB182" s="10">
        <f t="shared" si="349"/>
        <v>3.1454532017730713E-2</v>
      </c>
      <c r="AC182" s="10">
        <f t="shared" si="349"/>
        <v>3.4141602592109715E-2</v>
      </c>
      <c r="AD182" s="10">
        <f t="shared" si="349"/>
        <v>3.6828673166488725E-2</v>
      </c>
      <c r="AE182" s="10">
        <f t="shared" si="349"/>
        <v>3.9515743740867734E-2</v>
      </c>
      <c r="AF182" s="10">
        <f t="shared" si="349"/>
        <v>4.394150703984491E-2</v>
      </c>
      <c r="AG182" s="10">
        <f t="shared" si="349"/>
        <v>4.8367270338822099E-2</v>
      </c>
      <c r="AH182" s="10">
        <f t="shared" si="349"/>
        <v>5.2793033637799289E-2</v>
      </c>
      <c r="AI182" s="10">
        <f t="shared" si="349"/>
        <v>5.7218796936776471E-2</v>
      </c>
      <c r="AJ182" s="10">
        <f t="shared" si="349"/>
        <v>6.1644560235753654E-2</v>
      </c>
      <c r="AK182" s="10">
        <f t="shared" si="349"/>
        <v>6.5912260559767372E-2</v>
      </c>
      <c r="AL182" s="10">
        <f t="shared" si="349"/>
        <v>7.017996088378109E-2</v>
      </c>
      <c r="AM182" s="10">
        <f t="shared" si="349"/>
        <v>7.4447661207794794E-2</v>
      </c>
      <c r="AN182" s="10">
        <f t="shared" si="349"/>
        <v>7.8715361531808511E-2</v>
      </c>
      <c r="AO182" s="10">
        <f t="shared" si="349"/>
        <v>8.2983061855822216E-2</v>
      </c>
      <c r="AP182" s="10">
        <f t="shared" si="349"/>
        <v>8.7250762179835947E-2</v>
      </c>
      <c r="AQ182" s="10">
        <f t="shared" si="349"/>
        <v>9.1518462503849679E-2</v>
      </c>
      <c r="AR182" s="10">
        <f t="shared" si="349"/>
        <v>9.5786162827863383E-2</v>
      </c>
      <c r="AS182" s="10">
        <f t="shared" si="349"/>
        <v>0.1000538631518771</v>
      </c>
      <c r="AT182" s="10">
        <f t="shared" si="349"/>
        <v>0.10432156347589081</v>
      </c>
      <c r="AU182" s="10">
        <f t="shared" si="349"/>
        <v>0.10874732677486799</v>
      </c>
      <c r="AV182" s="10">
        <f t="shared" si="349"/>
        <v>0.11317309007384517</v>
      </c>
      <c r="AW182" s="10">
        <f t="shared" si="349"/>
        <v>0.11759885337282236</v>
      </c>
      <c r="AX182" s="10">
        <f t="shared" si="349"/>
        <v>0.12202461667179954</v>
      </c>
      <c r="AY182" s="10">
        <f t="shared" si="349"/>
        <v>0.12645037997077674</v>
      </c>
      <c r="AZ182" s="10">
        <f t="shared" si="349"/>
        <v>0.12645037997077674</v>
      </c>
      <c r="BA182" s="10">
        <f t="shared" si="349"/>
        <v>0.12645037997077674</v>
      </c>
      <c r="BB182" s="10">
        <f t="shared" si="349"/>
        <v>0.12645037997077674</v>
      </c>
      <c r="BC182" s="10">
        <f t="shared" si="349"/>
        <v>0.12645037997077674</v>
      </c>
      <c r="BD182" s="10">
        <f t="shared" si="349"/>
        <v>0.12645037997077674</v>
      </c>
      <c r="BE182" s="10">
        <f t="shared" si="349"/>
        <v>0.12645037997077674</v>
      </c>
      <c r="BF182" s="10">
        <f t="shared" si="349"/>
        <v>0.12645037997077674</v>
      </c>
      <c r="BG182" s="10">
        <f t="shared" si="349"/>
        <v>0.12645037997077674</v>
      </c>
      <c r="BH182" s="10">
        <f t="shared" si="349"/>
        <v>0.12645037997077674</v>
      </c>
      <c r="BI182" s="10">
        <f t="shared" si="349"/>
        <v>0.12645037997077674</v>
      </c>
    </row>
    <row r="183" spans="1:61"/>
  </sheetData>
  <mergeCells count="30">
    <mergeCell ref="A171:A172"/>
    <mergeCell ref="A177:A178"/>
    <mergeCell ref="A156:A157"/>
    <mergeCell ref="P156:P157"/>
    <mergeCell ref="B148:B151"/>
    <mergeCell ref="A169:V170"/>
    <mergeCell ref="B135:B138"/>
    <mergeCell ref="A162:A163"/>
    <mergeCell ref="P162:P163"/>
    <mergeCell ref="V57:W57"/>
    <mergeCell ref="V43:W43"/>
    <mergeCell ref="V53:W53"/>
    <mergeCell ref="V54:W54"/>
    <mergeCell ref="V55:W55"/>
    <mergeCell ref="V56:W56"/>
    <mergeCell ref="P83:P84"/>
    <mergeCell ref="P71:P72"/>
    <mergeCell ref="A120:A121"/>
    <mergeCell ref="A126:V127"/>
    <mergeCell ref="A5:A6"/>
    <mergeCell ref="A102:A103"/>
    <mergeCell ref="A108:A109"/>
    <mergeCell ref="A114:A115"/>
    <mergeCell ref="A71:A72"/>
    <mergeCell ref="A83:A84"/>
    <mergeCell ref="A48:Y49"/>
    <mergeCell ref="A60:Y61"/>
    <mergeCell ref="A69:V70"/>
    <mergeCell ref="A100:V101"/>
    <mergeCell ref="A30:V31"/>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5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2" ht="21">
      <c r="A1" s="4" t="s">
        <v>136</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34" t="str">
        <f>Indeksacja!$A$2</f>
        <v>Dla roku bazowego 2022 właściwe do zastosowania w analizie są wartości kosztów jednostkowych określone według poziomu cenowego z końca roku poprzedniego, tzn. 2021.</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row>
    <row r="3" spans="1:62"/>
    <row r="4" spans="1:62">
      <c r="A4" s="206" t="str">
        <f>'VOC eksploatacja samochody'!$A$4</f>
        <v>Prognoza zmian struktury floty pojazdów drogowych w Polsce pod względem rodzaju paliwa</v>
      </c>
    </row>
    <row r="5" spans="1:62"/>
    <row r="6" spans="1:62">
      <c r="A6" s="185" t="str">
        <f>'VOC eksploatacja samochody'!$A$48</f>
        <v>Struktura floty pojazdów LV</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row>
    <row r="7" spans="1:62">
      <c r="A7" s="9" t="s">
        <v>90</v>
      </c>
      <c r="B7" s="685"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74" t="s">
        <v>609</v>
      </c>
      <c r="B8" s="189"/>
      <c r="C8" s="189"/>
      <c r="D8" s="189"/>
      <c r="E8" s="189"/>
      <c r="F8" s="189"/>
      <c r="G8" s="189"/>
      <c r="H8" s="189"/>
      <c r="I8" s="189"/>
      <c r="J8" s="189"/>
      <c r="K8" s="189"/>
      <c r="L8" s="189"/>
      <c r="M8" s="189"/>
      <c r="N8" s="189"/>
      <c r="O8" s="189"/>
      <c r="P8" s="189"/>
      <c r="Q8" s="189"/>
      <c r="R8" s="189"/>
      <c r="S8" s="190"/>
      <c r="T8" s="191">
        <f>'VOC eksploatacja samochody'!T50</f>
        <v>1</v>
      </c>
      <c r="U8" s="192">
        <f>'VOC eksploatacja samochody'!U50</f>
        <v>0.99290909090909085</v>
      </c>
      <c r="V8" s="188">
        <f>'VOC eksploatacja samochody'!V50</f>
        <v>0.9858181818181817</v>
      </c>
      <c r="W8" s="188">
        <f>'VOC eksploatacja samochody'!W50</f>
        <v>0.97872727272727256</v>
      </c>
      <c r="X8" s="188">
        <f>'VOC eksploatacja samochody'!X50</f>
        <v>0.97163636363636341</v>
      </c>
      <c r="Y8" s="188">
        <f>'VOC eksploatacja samochody'!Y50</f>
        <v>0.96454545454545426</v>
      </c>
      <c r="Z8" s="188">
        <f>'VOC eksploatacja samochody'!Z50</f>
        <v>0.95745454545454511</v>
      </c>
      <c r="AA8" s="188">
        <f>'VOC eksploatacja samochody'!AA50</f>
        <v>0.95036363636363597</v>
      </c>
      <c r="AB8" s="188">
        <f>'VOC eksploatacja samochody'!AB50</f>
        <v>0.94327272727272682</v>
      </c>
      <c r="AC8" s="188">
        <f>'VOC eksploatacja samochody'!AC50</f>
        <v>0.93618181818181767</v>
      </c>
      <c r="AD8" s="188">
        <f>'VOC eksploatacja samochody'!AD50</f>
        <v>0.92909090909090852</v>
      </c>
      <c r="AE8" s="191">
        <f>'VOC eksploatacja samochody'!AE50</f>
        <v>0.92199999999999993</v>
      </c>
      <c r="AF8" s="188">
        <f>'VOC eksploatacja samochody'!AF50</f>
        <v>0.90934999999999988</v>
      </c>
      <c r="AG8" s="188">
        <f>'VOC eksploatacja samochody'!AG50</f>
        <v>0.89669999999999983</v>
      </c>
      <c r="AH8" s="188">
        <f>'VOC eksploatacja samochody'!AH50</f>
        <v>0.88404999999999978</v>
      </c>
      <c r="AI8" s="188">
        <f>'VOC eksploatacja samochody'!AI50</f>
        <v>0.87139999999999973</v>
      </c>
      <c r="AJ8" s="188">
        <f>'VOC eksploatacja samochody'!AJ50</f>
        <v>0.85874999999999968</v>
      </c>
      <c r="AK8" s="188">
        <f>'VOC eksploatacja samochody'!AK50</f>
        <v>0.84609999999999963</v>
      </c>
      <c r="AL8" s="188">
        <f>'VOC eksploatacja samochody'!AL50</f>
        <v>0.83344999999999958</v>
      </c>
      <c r="AM8" s="188">
        <f>'VOC eksploatacja samochody'!AM50</f>
        <v>0.82079999999999953</v>
      </c>
      <c r="AN8" s="188">
        <f>'VOC eksploatacja samochody'!AN50</f>
        <v>0.80814999999999948</v>
      </c>
      <c r="AO8" s="188">
        <f>'VOC eksploatacja samochody'!AO50</f>
        <v>0.79549999999999943</v>
      </c>
      <c r="AP8" s="188">
        <f>'VOC eksploatacja samochody'!AP50</f>
        <v>0.78284999999999938</v>
      </c>
      <c r="AQ8" s="188">
        <f>'VOC eksploatacja samochody'!AQ50</f>
        <v>0.77019999999999933</v>
      </c>
      <c r="AR8" s="188">
        <f>'VOC eksploatacja samochody'!AR50</f>
        <v>0.75754999999999928</v>
      </c>
      <c r="AS8" s="188">
        <f>'VOC eksploatacja samochody'!AS50</f>
        <v>0.74489999999999923</v>
      </c>
      <c r="AT8" s="188">
        <f>'VOC eksploatacja samochody'!AT50</f>
        <v>0.73224999999999918</v>
      </c>
      <c r="AU8" s="188">
        <f>'VOC eksploatacja samochody'!AU50</f>
        <v>0.71959999999999913</v>
      </c>
      <c r="AV8" s="188">
        <f>'VOC eksploatacja samochody'!AV50</f>
        <v>0.70694999999999908</v>
      </c>
      <c r="AW8" s="188">
        <f>'VOC eksploatacja samochody'!AW50</f>
        <v>0.69429999999999903</v>
      </c>
      <c r="AX8" s="188">
        <f>'VOC eksploatacja samochody'!AX50</f>
        <v>0.68164999999999898</v>
      </c>
      <c r="AY8" s="191">
        <f>'VOC eksploatacja samochody'!AY50</f>
        <v>0.66900000000000004</v>
      </c>
      <c r="AZ8" s="188">
        <f>'VOC eksploatacja samochody'!AZ50</f>
        <v>0.66900000000000004</v>
      </c>
      <c r="BA8" s="188">
        <f>'VOC eksploatacja samochody'!BA50</f>
        <v>0.66900000000000004</v>
      </c>
      <c r="BB8" s="188">
        <f>'VOC eksploatacja samochody'!BB50</f>
        <v>0.66900000000000004</v>
      </c>
      <c r="BC8" s="188">
        <f>'VOC eksploatacja samochody'!BC50</f>
        <v>0.66900000000000004</v>
      </c>
      <c r="BD8" s="188">
        <f>'VOC eksploatacja samochody'!BD50</f>
        <v>0.66900000000000004</v>
      </c>
      <c r="BE8" s="188">
        <f>'VOC eksploatacja samochody'!BE50</f>
        <v>0.66900000000000004</v>
      </c>
      <c r="BF8" s="188">
        <f>'VOC eksploatacja samochody'!BF50</f>
        <v>0.66900000000000004</v>
      </c>
      <c r="BG8" s="188">
        <f>'VOC eksploatacja samochody'!BG50</f>
        <v>0.66900000000000004</v>
      </c>
      <c r="BH8" s="188">
        <f>'VOC eksploatacja samochody'!BH50</f>
        <v>0.66900000000000004</v>
      </c>
      <c r="BI8" s="188">
        <f>'VOC eksploatacja samochody'!BI50</f>
        <v>0.66900000000000004</v>
      </c>
      <c r="BJ8" s="188">
        <f>'VOC eksploatacja samochody'!BJ50</f>
        <v>0.66900000000000004</v>
      </c>
    </row>
    <row r="9" spans="1:62">
      <c r="A9" s="225" t="s">
        <v>607</v>
      </c>
      <c r="B9" s="220"/>
      <c r="C9" s="220"/>
      <c r="D9" s="220"/>
      <c r="E9" s="220"/>
      <c r="F9" s="220"/>
      <c r="G9" s="220"/>
      <c r="H9" s="220"/>
      <c r="I9" s="220"/>
      <c r="J9" s="220"/>
      <c r="K9" s="220"/>
      <c r="L9" s="220"/>
      <c r="M9" s="220"/>
      <c r="N9" s="220"/>
      <c r="O9" s="220"/>
      <c r="P9" s="220"/>
      <c r="Q9" s="220"/>
      <c r="R9" s="220"/>
      <c r="S9" s="221"/>
      <c r="T9" s="230">
        <f>'VOC eksploatacja samochody'!T51</f>
        <v>0.67903598504544949</v>
      </c>
      <c r="U9" s="223">
        <f>'VOC eksploatacja samochody'!U51</f>
        <v>0.67621453185949953</v>
      </c>
      <c r="V9" s="224">
        <f>'VOC eksploatacja samochody'!V51</f>
        <v>0.67339307867354958</v>
      </c>
      <c r="W9" s="224">
        <f>'VOC eksploatacja samochody'!W51</f>
        <v>0.67057162548759963</v>
      </c>
      <c r="X9" s="224">
        <f>'VOC eksploatacja samochody'!X51</f>
        <v>0.66775017230164968</v>
      </c>
      <c r="Y9" s="224">
        <f>'VOC eksploatacja samochody'!Y51</f>
        <v>0.66492871911569973</v>
      </c>
      <c r="Z9" s="224">
        <f>'VOC eksploatacja samochody'!Z51</f>
        <v>0.66210726592974978</v>
      </c>
      <c r="AA9" s="224">
        <f>'VOC eksploatacja samochody'!AA51</f>
        <v>0.65928581274379983</v>
      </c>
      <c r="AB9" s="224">
        <f>'VOC eksploatacja samochody'!AB51</f>
        <v>0.65646435955784987</v>
      </c>
      <c r="AC9" s="224">
        <f>'VOC eksploatacja samochody'!AC51</f>
        <v>0.65364290637189992</v>
      </c>
      <c r="AD9" s="224">
        <f>'VOC eksploatacja samochody'!AD51</f>
        <v>0.65082145318594997</v>
      </c>
      <c r="AE9" s="230">
        <f>'VOC eksploatacja samochody'!AE51</f>
        <v>0.64799999999999991</v>
      </c>
      <c r="AF9" s="224">
        <f>'VOC eksploatacja samochody'!AF51</f>
        <v>0.64039999999999986</v>
      </c>
      <c r="AG9" s="224">
        <f>'VOC eksploatacja samochody'!AG51</f>
        <v>0.63279999999999981</v>
      </c>
      <c r="AH9" s="224">
        <f>'VOC eksploatacja samochody'!AH51</f>
        <v>0.62519999999999976</v>
      </c>
      <c r="AI9" s="224">
        <f>'VOC eksploatacja samochody'!AI51</f>
        <v>0.6175999999999997</v>
      </c>
      <c r="AJ9" s="224">
        <f>'VOC eksploatacja samochody'!AJ51</f>
        <v>0.60999999999999965</v>
      </c>
      <c r="AK9" s="224">
        <f>'VOC eksploatacja samochody'!AK51</f>
        <v>0.6023999999999996</v>
      </c>
      <c r="AL9" s="224">
        <f>'VOC eksploatacja samochody'!AL51</f>
        <v>0.59479999999999955</v>
      </c>
      <c r="AM9" s="224">
        <f>'VOC eksploatacja samochody'!AM51</f>
        <v>0.5871999999999995</v>
      </c>
      <c r="AN9" s="224">
        <f>'VOC eksploatacja samochody'!AN51</f>
        <v>0.57959999999999945</v>
      </c>
      <c r="AO9" s="224">
        <f>'VOC eksploatacja samochody'!AO51</f>
        <v>0.5719999999999994</v>
      </c>
      <c r="AP9" s="224">
        <f>'VOC eksploatacja samochody'!AP51</f>
        <v>0.56439999999999935</v>
      </c>
      <c r="AQ9" s="224">
        <f>'VOC eksploatacja samochody'!AQ51</f>
        <v>0.5567999999999993</v>
      </c>
      <c r="AR9" s="224">
        <f>'VOC eksploatacja samochody'!AR51</f>
        <v>0.54919999999999924</v>
      </c>
      <c r="AS9" s="224">
        <f>'VOC eksploatacja samochody'!AS51</f>
        <v>0.54159999999999919</v>
      </c>
      <c r="AT9" s="224">
        <f>'VOC eksploatacja samochody'!AT51</f>
        <v>0.53399999999999914</v>
      </c>
      <c r="AU9" s="224">
        <f>'VOC eksploatacja samochody'!AU51</f>
        <v>0.52639999999999909</v>
      </c>
      <c r="AV9" s="224">
        <f>'VOC eksploatacja samochody'!AV51</f>
        <v>0.51879999999999904</v>
      </c>
      <c r="AW9" s="224">
        <f>'VOC eksploatacja samochody'!AW51</f>
        <v>0.51119999999999899</v>
      </c>
      <c r="AX9" s="224">
        <f>'VOC eksploatacja samochody'!AX51</f>
        <v>0.50359999999999894</v>
      </c>
      <c r="AY9" s="230">
        <f>'VOC eksploatacja samochody'!AY51</f>
        <v>0.496</v>
      </c>
      <c r="AZ9" s="224">
        <f>'VOC eksploatacja samochody'!AZ51</f>
        <v>0.496</v>
      </c>
      <c r="BA9" s="224">
        <f>'VOC eksploatacja samochody'!BA51</f>
        <v>0.496</v>
      </c>
      <c r="BB9" s="224">
        <f>'VOC eksploatacja samochody'!BB51</f>
        <v>0.496</v>
      </c>
      <c r="BC9" s="224">
        <f>'VOC eksploatacja samochody'!BC51</f>
        <v>0.496</v>
      </c>
      <c r="BD9" s="224">
        <f>'VOC eksploatacja samochody'!BD51</f>
        <v>0.496</v>
      </c>
      <c r="BE9" s="224">
        <f>'VOC eksploatacja samochody'!BE51</f>
        <v>0.496</v>
      </c>
      <c r="BF9" s="224">
        <f>'VOC eksploatacja samochody'!BF51</f>
        <v>0.496</v>
      </c>
      <c r="BG9" s="224">
        <f>'VOC eksploatacja samochody'!BG51</f>
        <v>0.496</v>
      </c>
      <c r="BH9" s="224">
        <f>'VOC eksploatacja samochody'!BH51</f>
        <v>0.496</v>
      </c>
      <c r="BI9" s="224">
        <f>'VOC eksploatacja samochody'!BI51</f>
        <v>0.496</v>
      </c>
      <c r="BJ9" s="224">
        <f>'VOC eksploatacja samochody'!BJ51</f>
        <v>0.496</v>
      </c>
    </row>
    <row r="10" spans="1:62">
      <c r="A10" s="225" t="s">
        <v>91</v>
      </c>
      <c r="B10" s="220"/>
      <c r="C10" s="220"/>
      <c r="D10" s="220"/>
      <c r="E10" s="220"/>
      <c r="F10" s="220"/>
      <c r="G10" s="220"/>
      <c r="H10" s="220"/>
      <c r="I10" s="220"/>
      <c r="J10" s="220"/>
      <c r="K10" s="220"/>
      <c r="L10" s="220"/>
      <c r="M10" s="220"/>
      <c r="N10" s="220"/>
      <c r="O10" s="220"/>
      <c r="P10" s="220"/>
      <c r="Q10" s="220"/>
      <c r="R10" s="220"/>
      <c r="S10" s="221"/>
      <c r="T10" s="230">
        <f>'VOC eksploatacja samochody'!T52</f>
        <v>0.32096401495455057</v>
      </c>
      <c r="U10" s="223">
        <f>'VOC eksploatacja samochody'!U52</f>
        <v>0.31669455904959143</v>
      </c>
      <c r="V10" s="224">
        <f>'VOC eksploatacja samochody'!V52</f>
        <v>0.31242510314463229</v>
      </c>
      <c r="W10" s="224">
        <f>'VOC eksploatacja samochody'!W52</f>
        <v>0.30815564723967315</v>
      </c>
      <c r="X10" s="224">
        <f>'VOC eksploatacja samochody'!X52</f>
        <v>0.30388619133471401</v>
      </c>
      <c r="Y10" s="224">
        <f>'VOC eksploatacja samochody'!Y52</f>
        <v>0.29961673542975487</v>
      </c>
      <c r="Z10" s="224">
        <f>'VOC eksploatacja samochody'!Z52</f>
        <v>0.29534727952479572</v>
      </c>
      <c r="AA10" s="224">
        <f>'VOC eksploatacja samochody'!AA52</f>
        <v>0.29107782361983658</v>
      </c>
      <c r="AB10" s="224">
        <f>'VOC eksploatacja samochody'!AB52</f>
        <v>0.28680836771487744</v>
      </c>
      <c r="AC10" s="224">
        <f>'VOC eksploatacja samochody'!AC52</f>
        <v>0.2825389118099183</v>
      </c>
      <c r="AD10" s="224">
        <f>'VOC eksploatacja samochody'!AD52</f>
        <v>0.27826945590495916</v>
      </c>
      <c r="AE10" s="230">
        <f>'VOC eksploatacja samochody'!AE52</f>
        <v>0.27400000000000002</v>
      </c>
      <c r="AF10" s="224">
        <f>'VOC eksploatacja samochody'!AF52</f>
        <v>0.26895000000000002</v>
      </c>
      <c r="AG10" s="224">
        <f>'VOC eksploatacja samochody'!AG52</f>
        <v>0.26390000000000002</v>
      </c>
      <c r="AH10" s="224">
        <f>'VOC eksploatacja samochody'!AH52</f>
        <v>0.25885000000000002</v>
      </c>
      <c r="AI10" s="224">
        <f>'VOC eksploatacja samochody'!AI52</f>
        <v>0.25380000000000003</v>
      </c>
      <c r="AJ10" s="224">
        <f>'VOC eksploatacja samochody'!AJ52</f>
        <v>0.24875000000000003</v>
      </c>
      <c r="AK10" s="224">
        <f>'VOC eksploatacja samochody'!AK52</f>
        <v>0.24370000000000003</v>
      </c>
      <c r="AL10" s="224">
        <f>'VOC eksploatacja samochody'!AL52</f>
        <v>0.23865000000000003</v>
      </c>
      <c r="AM10" s="224">
        <f>'VOC eksploatacja samochody'!AM52</f>
        <v>0.23360000000000003</v>
      </c>
      <c r="AN10" s="224">
        <f>'VOC eksploatacja samochody'!AN52</f>
        <v>0.22855000000000003</v>
      </c>
      <c r="AO10" s="224">
        <f>'VOC eksploatacja samochody'!AO52</f>
        <v>0.22350000000000003</v>
      </c>
      <c r="AP10" s="224">
        <f>'VOC eksploatacja samochody'!AP52</f>
        <v>0.21845000000000003</v>
      </c>
      <c r="AQ10" s="224">
        <f>'VOC eksploatacja samochody'!AQ52</f>
        <v>0.21340000000000003</v>
      </c>
      <c r="AR10" s="224">
        <f>'VOC eksploatacja samochody'!AR52</f>
        <v>0.20835000000000004</v>
      </c>
      <c r="AS10" s="224">
        <f>'VOC eksploatacja samochody'!AS52</f>
        <v>0.20330000000000004</v>
      </c>
      <c r="AT10" s="224">
        <f>'VOC eksploatacja samochody'!AT52</f>
        <v>0.19825000000000004</v>
      </c>
      <c r="AU10" s="224">
        <f>'VOC eksploatacja samochody'!AU52</f>
        <v>0.19320000000000004</v>
      </c>
      <c r="AV10" s="224">
        <f>'VOC eksploatacja samochody'!AV52</f>
        <v>0.18815000000000004</v>
      </c>
      <c r="AW10" s="224">
        <f>'VOC eksploatacja samochody'!AW52</f>
        <v>0.18310000000000004</v>
      </c>
      <c r="AX10" s="224">
        <f>'VOC eksploatacja samochody'!AX52</f>
        <v>0.17805000000000004</v>
      </c>
      <c r="AY10" s="230">
        <f>'VOC eksploatacja samochody'!AY52</f>
        <v>0.17299999999999999</v>
      </c>
      <c r="AZ10" s="224">
        <f>'VOC eksploatacja samochody'!AZ52</f>
        <v>0.17299999999999999</v>
      </c>
      <c r="BA10" s="224">
        <f>'VOC eksploatacja samochody'!BA52</f>
        <v>0.17299999999999999</v>
      </c>
      <c r="BB10" s="224">
        <f>'VOC eksploatacja samochody'!BB52</f>
        <v>0.17299999999999999</v>
      </c>
      <c r="BC10" s="224">
        <f>'VOC eksploatacja samochody'!BC52</f>
        <v>0.17299999999999999</v>
      </c>
      <c r="BD10" s="224">
        <f>'VOC eksploatacja samochody'!BD52</f>
        <v>0.17299999999999999</v>
      </c>
      <c r="BE10" s="224">
        <f>'VOC eksploatacja samochody'!BE52</f>
        <v>0.17299999999999999</v>
      </c>
      <c r="BF10" s="224">
        <f>'VOC eksploatacja samochody'!BF52</f>
        <v>0.17299999999999999</v>
      </c>
      <c r="BG10" s="224">
        <f>'VOC eksploatacja samochody'!BG52</f>
        <v>0.17299999999999999</v>
      </c>
      <c r="BH10" s="224">
        <f>'VOC eksploatacja samochody'!BH52</f>
        <v>0.17299999999999999</v>
      </c>
      <c r="BI10" s="224">
        <f>'VOC eksploatacja samochody'!BI52</f>
        <v>0.17299999999999999</v>
      </c>
      <c r="BJ10" s="224">
        <f>'VOC eksploatacja samochody'!BJ52</f>
        <v>0.17299999999999999</v>
      </c>
    </row>
    <row r="11" spans="1:62">
      <c r="A11" s="174" t="s">
        <v>95</v>
      </c>
      <c r="B11" s="189"/>
      <c r="C11" s="189"/>
      <c r="D11" s="189"/>
      <c r="E11" s="189"/>
      <c r="F11" s="189"/>
      <c r="G11" s="189"/>
      <c r="H11" s="189"/>
      <c r="I11" s="189"/>
      <c r="J11" s="189"/>
      <c r="K11" s="189"/>
      <c r="L11" s="189"/>
      <c r="M11" s="189"/>
      <c r="N11" s="189"/>
      <c r="O11" s="189"/>
      <c r="P11" s="189"/>
      <c r="Q11" s="189"/>
      <c r="R11" s="189"/>
      <c r="S11" s="190"/>
      <c r="T11" s="191">
        <f>'VOC eksploatacja samochody'!T53</f>
        <v>0</v>
      </c>
      <c r="U11" s="192">
        <f>'VOC eksploatacja samochody'!U53</f>
        <v>7.0909090909090913E-3</v>
      </c>
      <c r="V11" s="188">
        <f>'VOC eksploatacja samochody'!V53</f>
        <v>1.4181818181818183E-2</v>
      </c>
      <c r="W11" s="188">
        <f>'VOC eksploatacja samochody'!W53</f>
        <v>2.1272727272727273E-2</v>
      </c>
      <c r="X11" s="188">
        <f>'VOC eksploatacja samochody'!X53</f>
        <v>2.8363636363636365E-2</v>
      </c>
      <c r="Y11" s="188">
        <f>'VOC eksploatacja samochody'!Y53</f>
        <v>3.5454545454545454E-2</v>
      </c>
      <c r="Z11" s="188">
        <f>'VOC eksploatacja samochody'!Z53</f>
        <v>4.2545454545454546E-2</v>
      </c>
      <c r="AA11" s="188">
        <f>'VOC eksploatacja samochody'!AA53</f>
        <v>4.9636363636363638E-2</v>
      </c>
      <c r="AB11" s="188">
        <f>'VOC eksploatacja samochody'!AB53</f>
        <v>5.672727272727273E-2</v>
      </c>
      <c r="AC11" s="188">
        <f>'VOC eksploatacja samochody'!AC53</f>
        <v>6.3818181818181816E-2</v>
      </c>
      <c r="AD11" s="188">
        <f>'VOC eksploatacja samochody'!AD53</f>
        <v>7.0909090909090908E-2</v>
      </c>
      <c r="AE11" s="191">
        <f>'VOC eksploatacja samochody'!AE53</f>
        <v>7.8E-2</v>
      </c>
      <c r="AF11" s="188">
        <f>'VOC eksploatacja samochody'!AF53</f>
        <v>9.0649999999999994E-2</v>
      </c>
      <c r="AG11" s="188">
        <f>'VOC eksploatacja samochody'!AG53</f>
        <v>0.10329999999999999</v>
      </c>
      <c r="AH11" s="188">
        <f>'VOC eksploatacja samochody'!AH53</f>
        <v>0.11594999999999998</v>
      </c>
      <c r="AI11" s="188">
        <f>'VOC eksploatacja samochody'!AI53</f>
        <v>0.12859999999999999</v>
      </c>
      <c r="AJ11" s="188">
        <f>'VOC eksploatacja samochody'!AJ53</f>
        <v>0.14124999999999999</v>
      </c>
      <c r="AK11" s="188">
        <f>'VOC eksploatacja samochody'!AK53</f>
        <v>0.15389999999999998</v>
      </c>
      <c r="AL11" s="188">
        <f>'VOC eksploatacja samochody'!AL53</f>
        <v>0.16654999999999998</v>
      </c>
      <c r="AM11" s="188">
        <f>'VOC eksploatacja samochody'!AM53</f>
        <v>0.17919999999999997</v>
      </c>
      <c r="AN11" s="188">
        <f>'VOC eksploatacja samochody'!AN53</f>
        <v>0.19184999999999997</v>
      </c>
      <c r="AO11" s="188">
        <f>'VOC eksploatacja samochody'!AO53</f>
        <v>0.20449999999999996</v>
      </c>
      <c r="AP11" s="188">
        <f>'VOC eksploatacja samochody'!AP53</f>
        <v>0.21714999999999995</v>
      </c>
      <c r="AQ11" s="188">
        <f>'VOC eksploatacja samochody'!AQ53</f>
        <v>0.22979999999999995</v>
      </c>
      <c r="AR11" s="188">
        <f>'VOC eksploatacja samochody'!AR53</f>
        <v>0.24244999999999994</v>
      </c>
      <c r="AS11" s="188">
        <f>'VOC eksploatacja samochody'!AS53</f>
        <v>0.25509999999999994</v>
      </c>
      <c r="AT11" s="188">
        <f>'VOC eksploatacja samochody'!AT53</f>
        <v>0.26774999999999993</v>
      </c>
      <c r="AU11" s="188">
        <f>'VOC eksploatacja samochody'!AU53</f>
        <v>0.28039999999999993</v>
      </c>
      <c r="AV11" s="188">
        <f>'VOC eksploatacja samochody'!AV53</f>
        <v>0.29304999999999992</v>
      </c>
      <c r="AW11" s="188">
        <f>'VOC eksploatacja samochody'!AW53</f>
        <v>0.30569999999999992</v>
      </c>
      <c r="AX11" s="188">
        <f>'VOC eksploatacja samochody'!AX53</f>
        <v>0.31834999999999991</v>
      </c>
      <c r="AY11" s="191">
        <f>'VOC eksploatacja samochody'!AY53</f>
        <v>0.33100000000000002</v>
      </c>
      <c r="AZ11" s="188">
        <f>'VOC eksploatacja samochody'!AZ53</f>
        <v>0.33100000000000002</v>
      </c>
      <c r="BA11" s="188">
        <f>'VOC eksploatacja samochody'!BA53</f>
        <v>0.33100000000000002</v>
      </c>
      <c r="BB11" s="188">
        <f>'VOC eksploatacja samochody'!BB53</f>
        <v>0.33100000000000002</v>
      </c>
      <c r="BC11" s="188">
        <f>'VOC eksploatacja samochody'!BC53</f>
        <v>0.33100000000000002</v>
      </c>
      <c r="BD11" s="188">
        <f>'VOC eksploatacja samochody'!BD53</f>
        <v>0.33100000000000002</v>
      </c>
      <c r="BE11" s="188">
        <f>'VOC eksploatacja samochody'!BE53</f>
        <v>0.33100000000000002</v>
      </c>
      <c r="BF11" s="188">
        <f>'VOC eksploatacja samochody'!BF53</f>
        <v>0.33100000000000002</v>
      </c>
      <c r="BG11" s="188">
        <f>'VOC eksploatacja samochody'!BG53</f>
        <v>0.33100000000000002</v>
      </c>
      <c r="BH11" s="188">
        <f>'VOC eksploatacja samochody'!BH53</f>
        <v>0.33100000000000002</v>
      </c>
      <c r="BI11" s="188">
        <f>'VOC eksploatacja samochody'!BI53</f>
        <v>0.33100000000000002</v>
      </c>
      <c r="BJ11" s="188">
        <f>'VOC eksploatacja samochody'!BJ53</f>
        <v>0.33100000000000002</v>
      </c>
    </row>
    <row r="12" spans="1:62">
      <c r="A12" s="193"/>
      <c r="B12" s="194"/>
      <c r="C12" s="194"/>
      <c r="D12" s="194"/>
      <c r="E12" s="194"/>
      <c r="F12" s="194"/>
      <c r="G12" s="194"/>
      <c r="H12" s="194"/>
      <c r="I12" s="194"/>
      <c r="J12" s="194"/>
      <c r="K12" s="194"/>
      <c r="L12" s="194"/>
      <c r="M12" s="194"/>
      <c r="N12" s="194"/>
      <c r="O12" s="194"/>
      <c r="P12" s="194"/>
      <c r="Q12" s="194"/>
      <c r="R12" s="194"/>
      <c r="S12" s="194"/>
      <c r="T12" s="194" t="b">
        <f>ROUND(SUM(T9:T10),10)=ROUND(T8,10)</f>
        <v>1</v>
      </c>
      <c r="U12" s="194" t="b">
        <f t="shared" ref="U12:BI12" si="1">ROUND(SUM(U9:U10),10)=ROUND(U8,10)</f>
        <v>1</v>
      </c>
      <c r="V12" s="194" t="b">
        <f t="shared" si="1"/>
        <v>1</v>
      </c>
      <c r="W12" s="194" t="b">
        <f t="shared" si="1"/>
        <v>1</v>
      </c>
      <c r="X12" s="194" t="b">
        <f t="shared" si="1"/>
        <v>1</v>
      </c>
      <c r="Y12" s="194" t="b">
        <f t="shared" si="1"/>
        <v>1</v>
      </c>
      <c r="Z12" s="194" t="b">
        <f t="shared" si="1"/>
        <v>1</v>
      </c>
      <c r="AA12" s="194" t="b">
        <f t="shared" si="1"/>
        <v>1</v>
      </c>
      <c r="AB12" s="194" t="b">
        <f t="shared" si="1"/>
        <v>1</v>
      </c>
      <c r="AC12" s="194" t="b">
        <f t="shared" si="1"/>
        <v>1</v>
      </c>
      <c r="AD12" s="194" t="b">
        <f t="shared" si="1"/>
        <v>1</v>
      </c>
      <c r="AE12" s="194" t="b">
        <f t="shared" si="1"/>
        <v>1</v>
      </c>
      <c r="AF12" s="194" t="b">
        <f t="shared" si="1"/>
        <v>1</v>
      </c>
      <c r="AG12" s="194" t="b">
        <f t="shared" si="1"/>
        <v>1</v>
      </c>
      <c r="AH12" s="194" t="b">
        <f t="shared" si="1"/>
        <v>1</v>
      </c>
      <c r="AI12" s="194" t="b">
        <f t="shared" si="1"/>
        <v>1</v>
      </c>
      <c r="AJ12" s="194" t="b">
        <f t="shared" si="1"/>
        <v>1</v>
      </c>
      <c r="AK12" s="194" t="b">
        <f t="shared" si="1"/>
        <v>1</v>
      </c>
      <c r="AL12" s="194" t="b">
        <f t="shared" si="1"/>
        <v>1</v>
      </c>
      <c r="AM12" s="194" t="b">
        <f t="shared" si="1"/>
        <v>1</v>
      </c>
      <c r="AN12" s="194" t="b">
        <f t="shared" si="1"/>
        <v>1</v>
      </c>
      <c r="AO12" s="194" t="b">
        <f t="shared" si="1"/>
        <v>1</v>
      </c>
      <c r="AP12" s="194" t="b">
        <f t="shared" si="1"/>
        <v>1</v>
      </c>
      <c r="AQ12" s="194" t="b">
        <f t="shared" si="1"/>
        <v>1</v>
      </c>
      <c r="AR12" s="194" t="b">
        <f t="shared" si="1"/>
        <v>1</v>
      </c>
      <c r="AS12" s="194" t="b">
        <f t="shared" si="1"/>
        <v>1</v>
      </c>
      <c r="AT12" s="194" t="b">
        <f t="shared" si="1"/>
        <v>1</v>
      </c>
      <c r="AU12" s="194" t="b">
        <f t="shared" si="1"/>
        <v>1</v>
      </c>
      <c r="AV12" s="194" t="b">
        <f t="shared" si="1"/>
        <v>1</v>
      </c>
      <c r="AW12" s="194" t="b">
        <f t="shared" si="1"/>
        <v>1</v>
      </c>
      <c r="AX12" s="194" t="b">
        <f t="shared" si="1"/>
        <v>1</v>
      </c>
      <c r="AY12" s="194" t="b">
        <f t="shared" si="1"/>
        <v>1</v>
      </c>
      <c r="AZ12" s="194" t="b">
        <f t="shared" si="1"/>
        <v>1</v>
      </c>
      <c r="BA12" s="194" t="b">
        <f t="shared" si="1"/>
        <v>1</v>
      </c>
      <c r="BB12" s="194" t="b">
        <f t="shared" si="1"/>
        <v>1</v>
      </c>
      <c r="BC12" s="194" t="b">
        <f t="shared" si="1"/>
        <v>1</v>
      </c>
      <c r="BD12" s="194" t="b">
        <f t="shared" si="1"/>
        <v>1</v>
      </c>
      <c r="BE12" s="194" t="b">
        <f t="shared" si="1"/>
        <v>1</v>
      </c>
      <c r="BF12" s="194" t="b">
        <f t="shared" si="1"/>
        <v>1</v>
      </c>
      <c r="BG12" s="194" t="b">
        <f t="shared" si="1"/>
        <v>1</v>
      </c>
      <c r="BH12" s="194" t="b">
        <f t="shared" si="1"/>
        <v>1</v>
      </c>
      <c r="BI12" s="194" t="b">
        <f t="shared" si="1"/>
        <v>1</v>
      </c>
      <c r="BJ12" s="194" t="b">
        <f t="shared" ref="BJ12" si="2">ROUND(SUM(BJ9:BJ10),10)=ROUND(BJ8,10)</f>
        <v>1</v>
      </c>
    </row>
    <row r="13" spans="1:62">
      <c r="A13" s="185" t="str">
        <f>'VOC eksploatacja samochody'!$A$55</f>
        <v>Struktura floty pojazdów HGV</v>
      </c>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5"/>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613"/>
    </row>
    <row r="14" spans="1:62">
      <c r="A14" s="9" t="s">
        <v>90</v>
      </c>
      <c r="B14" s="685"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74" t="s">
        <v>107</v>
      </c>
      <c r="B15" s="189"/>
      <c r="C15" s="189"/>
      <c r="D15" s="189"/>
      <c r="E15" s="189"/>
      <c r="F15" s="189"/>
      <c r="G15" s="189"/>
      <c r="H15" s="189"/>
      <c r="I15" s="189"/>
      <c r="J15" s="189"/>
      <c r="K15" s="189"/>
      <c r="L15" s="189"/>
      <c r="M15" s="189"/>
      <c r="N15" s="189"/>
      <c r="O15" s="189"/>
      <c r="P15" s="189"/>
      <c r="Q15" s="189"/>
      <c r="R15" s="189"/>
      <c r="S15" s="190"/>
      <c r="T15" s="191">
        <f>'VOC eksploatacja samochody'!T57</f>
        <v>1</v>
      </c>
      <c r="U15" s="192">
        <f>'VOC eksploatacja samochody'!U57</f>
        <v>1</v>
      </c>
      <c r="V15" s="188">
        <f>'VOC eksploatacja samochody'!V57</f>
        <v>1</v>
      </c>
      <c r="W15" s="188">
        <f>'VOC eksploatacja samochody'!W57</f>
        <v>1</v>
      </c>
      <c r="X15" s="188">
        <f>'VOC eksploatacja samochody'!X57</f>
        <v>1</v>
      </c>
      <c r="Y15" s="188">
        <f>'VOC eksploatacja samochody'!Y57</f>
        <v>1</v>
      </c>
      <c r="Z15" s="188">
        <f>'VOC eksploatacja samochody'!Z57</f>
        <v>1</v>
      </c>
      <c r="AA15" s="188">
        <f>'VOC eksploatacja samochody'!AA57</f>
        <v>1</v>
      </c>
      <c r="AB15" s="188">
        <f>'VOC eksploatacja samochody'!AB57</f>
        <v>1</v>
      </c>
      <c r="AC15" s="188">
        <f>'VOC eksploatacja samochody'!AC57</f>
        <v>1</v>
      </c>
      <c r="AD15" s="188">
        <f>'VOC eksploatacja samochody'!AD57</f>
        <v>1</v>
      </c>
      <c r="AE15" s="191">
        <f>'VOC eksploatacja samochody'!AE57</f>
        <v>1</v>
      </c>
      <c r="AF15" s="188">
        <f>'VOC eksploatacja samochody'!AF57</f>
        <v>1</v>
      </c>
      <c r="AG15" s="188">
        <f>'VOC eksploatacja samochody'!AG57</f>
        <v>1</v>
      </c>
      <c r="AH15" s="188">
        <f>'VOC eksploatacja samochody'!AH57</f>
        <v>1</v>
      </c>
      <c r="AI15" s="188">
        <f>'VOC eksploatacja samochody'!AI57</f>
        <v>1</v>
      </c>
      <c r="AJ15" s="188">
        <f>'VOC eksploatacja samochody'!AJ57</f>
        <v>1</v>
      </c>
      <c r="AK15" s="188">
        <f>'VOC eksploatacja samochody'!AK57</f>
        <v>1</v>
      </c>
      <c r="AL15" s="188">
        <f>'VOC eksploatacja samochody'!AL57</f>
        <v>1</v>
      </c>
      <c r="AM15" s="188">
        <f>'VOC eksploatacja samochody'!AM57</f>
        <v>1</v>
      </c>
      <c r="AN15" s="188">
        <f>'VOC eksploatacja samochody'!AN57</f>
        <v>1</v>
      </c>
      <c r="AO15" s="188">
        <f>'VOC eksploatacja samochody'!AO57</f>
        <v>1</v>
      </c>
      <c r="AP15" s="188">
        <f>'VOC eksploatacja samochody'!AP57</f>
        <v>1</v>
      </c>
      <c r="AQ15" s="188">
        <f>'VOC eksploatacja samochody'!AQ57</f>
        <v>1</v>
      </c>
      <c r="AR15" s="188">
        <f>'VOC eksploatacja samochody'!AR57</f>
        <v>1</v>
      </c>
      <c r="AS15" s="188">
        <f>'VOC eksploatacja samochody'!AS57</f>
        <v>1</v>
      </c>
      <c r="AT15" s="188">
        <f>'VOC eksploatacja samochody'!AT57</f>
        <v>1</v>
      </c>
      <c r="AU15" s="188">
        <f>'VOC eksploatacja samochody'!AU57</f>
        <v>1</v>
      </c>
      <c r="AV15" s="188">
        <f>'VOC eksploatacja samochody'!AV57</f>
        <v>1</v>
      </c>
      <c r="AW15" s="188">
        <f>'VOC eksploatacja samochody'!AW57</f>
        <v>1</v>
      </c>
      <c r="AX15" s="188">
        <f>'VOC eksploatacja samochody'!AX57</f>
        <v>1</v>
      </c>
      <c r="AY15" s="191">
        <f>'VOC eksploatacja samochody'!AY57</f>
        <v>1</v>
      </c>
      <c r="AZ15" s="188">
        <f>'VOC eksploatacja samochody'!AZ57</f>
        <v>1</v>
      </c>
      <c r="BA15" s="188">
        <f>'VOC eksploatacja samochody'!BA57</f>
        <v>1</v>
      </c>
      <c r="BB15" s="188">
        <f>'VOC eksploatacja samochody'!BB57</f>
        <v>1</v>
      </c>
      <c r="BC15" s="188">
        <f>'VOC eksploatacja samochody'!BC57</f>
        <v>1</v>
      </c>
      <c r="BD15" s="188">
        <f>'VOC eksploatacja samochody'!BD57</f>
        <v>1</v>
      </c>
      <c r="BE15" s="188">
        <f>'VOC eksploatacja samochody'!BE57</f>
        <v>1</v>
      </c>
      <c r="BF15" s="188">
        <f>'VOC eksploatacja samochody'!BF57</f>
        <v>1</v>
      </c>
      <c r="BG15" s="188">
        <f>'VOC eksploatacja samochody'!BG57</f>
        <v>1</v>
      </c>
      <c r="BH15" s="188">
        <f>'VOC eksploatacja samochody'!BH57</f>
        <v>1</v>
      </c>
      <c r="BI15" s="188">
        <f>'VOC eksploatacja samochody'!BI57</f>
        <v>1</v>
      </c>
      <c r="BJ15" s="188">
        <f>'VOC eksploatacja samochody'!BJ57</f>
        <v>1</v>
      </c>
    </row>
    <row r="16" spans="1:62">
      <c r="A16" s="174" t="s">
        <v>95</v>
      </c>
      <c r="B16" s="189"/>
      <c r="C16" s="189"/>
      <c r="D16" s="189"/>
      <c r="E16" s="189"/>
      <c r="F16" s="189"/>
      <c r="G16" s="189"/>
      <c r="H16" s="189"/>
      <c r="I16" s="189"/>
      <c r="J16" s="189"/>
      <c r="K16" s="189"/>
      <c r="L16" s="189"/>
      <c r="M16" s="189"/>
      <c r="N16" s="189"/>
      <c r="O16" s="189"/>
      <c r="P16" s="189"/>
      <c r="Q16" s="189"/>
      <c r="R16" s="189"/>
      <c r="S16" s="190"/>
      <c r="T16" s="191">
        <f>'VOC eksploatacja samochody'!T58</f>
        <v>0</v>
      </c>
      <c r="U16" s="192">
        <f>'VOC eksploatacja samochody'!U58</f>
        <v>0</v>
      </c>
      <c r="V16" s="188">
        <f>'VOC eksploatacja samochody'!V58</f>
        <v>0</v>
      </c>
      <c r="W16" s="188">
        <f>'VOC eksploatacja samochody'!W58</f>
        <v>0</v>
      </c>
      <c r="X16" s="188">
        <f>'VOC eksploatacja samochody'!X58</f>
        <v>0</v>
      </c>
      <c r="Y16" s="188">
        <f>'VOC eksploatacja samochody'!Y58</f>
        <v>0</v>
      </c>
      <c r="Z16" s="188">
        <f>'VOC eksploatacja samochody'!Z58</f>
        <v>0</v>
      </c>
      <c r="AA16" s="188">
        <f>'VOC eksploatacja samochody'!AA58</f>
        <v>0</v>
      </c>
      <c r="AB16" s="188">
        <f>'VOC eksploatacja samochody'!AB58</f>
        <v>0</v>
      </c>
      <c r="AC16" s="188">
        <f>'VOC eksploatacja samochody'!AC58</f>
        <v>0</v>
      </c>
      <c r="AD16" s="188">
        <f>'VOC eksploatacja samochody'!AD58</f>
        <v>0</v>
      </c>
      <c r="AE16" s="191">
        <f>'VOC eksploatacja samochody'!AE58</f>
        <v>0</v>
      </c>
      <c r="AF16" s="188">
        <f>'VOC eksploatacja samochody'!AF58</f>
        <v>0</v>
      </c>
      <c r="AG16" s="188">
        <f>'VOC eksploatacja samochody'!AG58</f>
        <v>0</v>
      </c>
      <c r="AH16" s="188">
        <f>'VOC eksploatacja samochody'!AH58</f>
        <v>0</v>
      </c>
      <c r="AI16" s="188">
        <f>'VOC eksploatacja samochody'!AI58</f>
        <v>0</v>
      </c>
      <c r="AJ16" s="188">
        <f>'VOC eksploatacja samochody'!AJ58</f>
        <v>0</v>
      </c>
      <c r="AK16" s="188">
        <f>'VOC eksploatacja samochody'!AK58</f>
        <v>0</v>
      </c>
      <c r="AL16" s="188">
        <f>'VOC eksploatacja samochody'!AL58</f>
        <v>0</v>
      </c>
      <c r="AM16" s="188">
        <f>'VOC eksploatacja samochody'!AM58</f>
        <v>0</v>
      </c>
      <c r="AN16" s="188">
        <f>'VOC eksploatacja samochody'!AN58</f>
        <v>0</v>
      </c>
      <c r="AO16" s="188">
        <f>'VOC eksploatacja samochody'!AO58</f>
        <v>0</v>
      </c>
      <c r="AP16" s="188">
        <f>'VOC eksploatacja samochody'!AP58</f>
        <v>0</v>
      </c>
      <c r="AQ16" s="188">
        <f>'VOC eksploatacja samochody'!AQ58</f>
        <v>0</v>
      </c>
      <c r="AR16" s="188">
        <f>'VOC eksploatacja samochody'!AR58</f>
        <v>0</v>
      </c>
      <c r="AS16" s="188">
        <f>'VOC eksploatacja samochody'!AS58</f>
        <v>0</v>
      </c>
      <c r="AT16" s="188">
        <f>'VOC eksploatacja samochody'!AT58</f>
        <v>0</v>
      </c>
      <c r="AU16" s="188">
        <f>'VOC eksploatacja samochody'!AU58</f>
        <v>0</v>
      </c>
      <c r="AV16" s="188">
        <f>'VOC eksploatacja samochody'!AV58</f>
        <v>0</v>
      </c>
      <c r="AW16" s="188">
        <f>'VOC eksploatacja samochody'!AW58</f>
        <v>0</v>
      </c>
      <c r="AX16" s="188">
        <f>'VOC eksploatacja samochody'!AX58</f>
        <v>0</v>
      </c>
      <c r="AY16" s="191">
        <f>'VOC eksploatacja samochody'!AY58</f>
        <v>0</v>
      </c>
      <c r="AZ16" s="188">
        <f>'VOC eksploatacja samochody'!AZ58</f>
        <v>0</v>
      </c>
      <c r="BA16" s="188">
        <f>'VOC eksploatacja samochody'!BA58</f>
        <v>0</v>
      </c>
      <c r="BB16" s="188">
        <f>'VOC eksploatacja samochody'!BB58</f>
        <v>0</v>
      </c>
      <c r="BC16" s="188">
        <f>'VOC eksploatacja samochody'!BC58</f>
        <v>0</v>
      </c>
      <c r="BD16" s="188">
        <f>'VOC eksploatacja samochody'!BD58</f>
        <v>0</v>
      </c>
      <c r="BE16" s="188">
        <f>'VOC eksploatacja samochody'!BE58</f>
        <v>0</v>
      </c>
      <c r="BF16" s="188">
        <f>'VOC eksploatacja samochody'!BF58</f>
        <v>0</v>
      </c>
      <c r="BG16" s="188">
        <f>'VOC eksploatacja samochody'!BG58</f>
        <v>0</v>
      </c>
      <c r="BH16" s="188">
        <f>'VOC eksploatacja samochody'!BH58</f>
        <v>0</v>
      </c>
      <c r="BI16" s="188">
        <f>'VOC eksploatacja samochody'!BI58</f>
        <v>0</v>
      </c>
      <c r="BJ16" s="188">
        <f>'VOC eksploatacja samochody'!BJ58</f>
        <v>0</v>
      </c>
    </row>
    <row r="17" spans="1:22"/>
    <row r="18" spans="1:22">
      <c r="A18" s="715" t="str">
        <f>'VOC eksploatacja samochody'!$A$60</f>
        <v xml:space="preserve">W poniższych tabelach dane dla pojazdów drogowych spalinowych dotyczą całości reprezentatywnej floty pojazdów w Polsce z 2019 roku, z uwzględnieniem wszystkich rodzajów paliw. </v>
      </c>
      <c r="B18" s="715"/>
      <c r="C18" s="715"/>
      <c r="D18" s="715"/>
      <c r="E18" s="715"/>
      <c r="F18" s="715"/>
      <c r="G18" s="715"/>
      <c r="H18" s="715"/>
      <c r="I18" s="715"/>
      <c r="J18" s="715"/>
      <c r="K18" s="715"/>
      <c r="L18" s="715"/>
      <c r="M18" s="715"/>
      <c r="N18" s="715"/>
      <c r="O18" s="715"/>
      <c r="P18" s="715"/>
      <c r="Q18" s="715"/>
      <c r="R18" s="715"/>
      <c r="S18" s="715"/>
      <c r="T18" s="715"/>
      <c r="U18" s="715"/>
      <c r="V18" s="715"/>
    </row>
    <row r="19" spans="1:22" s="690" customFormat="1">
      <c r="A19" s="715"/>
      <c r="B19" s="715"/>
      <c r="C19" s="715"/>
      <c r="D19" s="715"/>
      <c r="E19" s="715"/>
      <c r="F19" s="715"/>
      <c r="G19" s="715"/>
      <c r="H19" s="715"/>
      <c r="I19" s="715"/>
      <c r="J19" s="715"/>
      <c r="K19" s="715"/>
      <c r="L19" s="715"/>
      <c r="M19" s="715"/>
      <c r="N19" s="715"/>
      <c r="O19" s="715"/>
      <c r="P19" s="715"/>
      <c r="Q19" s="715"/>
      <c r="R19" s="715"/>
      <c r="S19" s="715"/>
      <c r="T19" s="715"/>
      <c r="U19" s="715"/>
      <c r="V19" s="715"/>
    </row>
    <row r="20" spans="1:22">
      <c r="A20" s="715" t="str">
        <f>'VOC eksploatacja samochody'!$A$62</f>
        <v xml:space="preserve">Dla uproszczenia należy przyjąć, że aktualnie udział pojazdów elektrycznych (w tym również hybrydowych-elektrycznych) w całej flocie pojazdów poruszających się po drogach w Polsce wynosi 0%. </v>
      </c>
      <c r="B20" s="715"/>
      <c r="C20" s="715"/>
      <c r="D20" s="715"/>
      <c r="E20" s="715"/>
      <c r="F20" s="715"/>
      <c r="G20" s="715"/>
      <c r="H20" s="715"/>
      <c r="I20" s="715"/>
      <c r="J20" s="715"/>
      <c r="K20" s="715"/>
      <c r="L20" s="715"/>
      <c r="M20" s="715"/>
      <c r="N20" s="715"/>
      <c r="O20" s="715"/>
      <c r="P20" s="715"/>
      <c r="Q20" s="715"/>
      <c r="R20" s="715"/>
      <c r="S20" s="715"/>
      <c r="T20" s="715"/>
      <c r="U20" s="715"/>
      <c r="V20" s="715"/>
    </row>
    <row r="21" spans="1:22" s="690" customFormat="1">
      <c r="A21" s="715"/>
      <c r="B21" s="715"/>
      <c r="C21" s="715"/>
      <c r="D21" s="715"/>
      <c r="E21" s="715"/>
      <c r="F21" s="715"/>
      <c r="G21" s="715"/>
      <c r="H21" s="715"/>
      <c r="I21" s="715"/>
      <c r="J21" s="715"/>
      <c r="K21" s="715"/>
      <c r="L21" s="715"/>
      <c r="M21" s="715"/>
      <c r="N21" s="715"/>
      <c r="O21" s="715"/>
      <c r="P21" s="715"/>
      <c r="Q21" s="715"/>
      <c r="R21" s="715"/>
      <c r="S21" s="715"/>
      <c r="T21" s="715"/>
      <c r="U21" s="715"/>
      <c r="V21" s="715"/>
    </row>
    <row r="22" spans="1:22">
      <c r="A22" s="334"/>
    </row>
    <row r="23" spans="1:22">
      <c r="A23" s="334" t="str">
        <f>'VOC eksploatacja samochody'!$A$65</f>
        <v xml:space="preserve">Dla potrzeb analizy projektów przedstawianych do oceny przez CUPT należy przyjąć następujące założenia: </v>
      </c>
    </row>
    <row r="24" spans="1:22">
      <c r="A24" s="144" t="str">
        <f>'VOC eksploatacja samochody'!$A$66</f>
        <v xml:space="preserve">Wskaźniki zużycia paliwa przez pojazdy spalinowe (łącznie dla wszystkich rodzajów paliw) pozostaną na wyjściowym poziomie (2019). </v>
      </c>
    </row>
    <row r="25" spans="1:22">
      <c r="A25" s="144" t="str">
        <f>'VOC eksploatacja samochody'!$A$67</f>
        <v xml:space="preserve">Aktualnie flota pojazdów drogowych składa się w 100% zpojazdów spalinowych i 0% pojazdów elektrycznych. </v>
      </c>
    </row>
    <row r="26" spans="1:22">
      <c r="A26" s="763" t="str">
        <f>'VOC eksploatacja samochody'!$A$68</f>
        <v xml:space="preserve">We flocie samochodów osobowych udziały pojazdów elektrycznych będą rosły, a pojazdów spalinowych – malały (w tym samym tempie dla wszystkich rodzajów paliw), zgodnie z przyjętym scenariuszem prognoz. </v>
      </c>
      <c r="B26" s="763"/>
      <c r="C26" s="763"/>
      <c r="D26" s="763"/>
      <c r="E26" s="763"/>
      <c r="F26" s="763"/>
      <c r="G26" s="763"/>
      <c r="H26" s="763"/>
      <c r="I26" s="763"/>
      <c r="J26" s="763"/>
      <c r="K26" s="763"/>
      <c r="L26" s="763"/>
      <c r="M26" s="763"/>
      <c r="N26" s="763"/>
      <c r="O26" s="763"/>
      <c r="P26" s="763"/>
      <c r="Q26" s="763"/>
      <c r="R26" s="763"/>
      <c r="S26" s="763"/>
      <c r="T26" s="763"/>
      <c r="U26" s="763"/>
      <c r="V26" s="763"/>
    </row>
    <row r="27" spans="1:22" s="690" customFormat="1">
      <c r="A27" s="763"/>
      <c r="B27" s="763"/>
      <c r="C27" s="763"/>
      <c r="D27" s="763"/>
      <c r="E27" s="763"/>
      <c r="F27" s="763"/>
      <c r="G27" s="763"/>
      <c r="H27" s="763"/>
      <c r="I27" s="763"/>
      <c r="J27" s="763"/>
      <c r="K27" s="763"/>
      <c r="L27" s="763"/>
      <c r="M27" s="763"/>
      <c r="N27" s="763"/>
      <c r="O27" s="763"/>
      <c r="P27" s="763"/>
      <c r="Q27" s="763"/>
      <c r="R27" s="763"/>
      <c r="S27" s="763"/>
      <c r="T27" s="763"/>
      <c r="U27" s="763"/>
      <c r="V27" s="763"/>
    </row>
    <row r="28" spans="1:22">
      <c r="A28" s="763"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763"/>
      <c r="C28" s="763"/>
      <c r="D28" s="763"/>
      <c r="E28" s="763"/>
      <c r="F28" s="763"/>
      <c r="G28" s="763"/>
      <c r="H28" s="763"/>
      <c r="I28" s="763"/>
      <c r="J28" s="763"/>
      <c r="K28" s="763"/>
      <c r="L28" s="763"/>
      <c r="M28" s="763"/>
      <c r="N28" s="763"/>
      <c r="O28" s="763"/>
      <c r="P28" s="763"/>
      <c r="Q28" s="763"/>
      <c r="R28" s="763"/>
      <c r="S28" s="763"/>
      <c r="T28" s="763"/>
      <c r="U28" s="763"/>
      <c r="V28" s="763"/>
    </row>
    <row r="29" spans="1:22" s="690" customFormat="1">
      <c r="A29" s="763"/>
      <c r="B29" s="763"/>
      <c r="C29" s="763"/>
      <c r="D29" s="763"/>
      <c r="E29" s="763"/>
      <c r="F29" s="763"/>
      <c r="G29" s="763"/>
      <c r="H29" s="763"/>
      <c r="I29" s="763"/>
      <c r="J29" s="763"/>
      <c r="K29" s="763"/>
      <c r="L29" s="763"/>
      <c r="M29" s="763"/>
      <c r="N29" s="763"/>
      <c r="O29" s="763"/>
      <c r="P29" s="763"/>
      <c r="Q29" s="763"/>
      <c r="R29" s="763"/>
      <c r="S29" s="763"/>
      <c r="T29" s="763"/>
      <c r="U29" s="763"/>
      <c r="V29" s="763"/>
    </row>
    <row r="30" spans="1:22">
      <c r="A30" s="613"/>
    </row>
    <row r="31" spans="1:22"/>
    <row r="32" spans="1:22"/>
    <row r="33" spans="1:22" hidden="1" outlineLevel="1">
      <c r="A33" s="1" t="s">
        <v>249</v>
      </c>
      <c r="B33" s="334"/>
      <c r="C33" s="334"/>
      <c r="D33" s="334"/>
      <c r="E33" s="334"/>
      <c r="F33" s="334"/>
      <c r="G33" s="334"/>
      <c r="H33" s="334"/>
      <c r="I33" s="334"/>
      <c r="J33" s="334"/>
      <c r="K33" s="334"/>
      <c r="L33" s="334"/>
      <c r="M33" s="334"/>
      <c r="N33" s="334"/>
      <c r="O33" s="334"/>
      <c r="P33" s="334"/>
      <c r="Q33" s="334"/>
      <c r="R33" s="334"/>
    </row>
    <row r="34" spans="1:22" s="369" customFormat="1" hidden="1" outlineLevel="1">
      <c r="A34" s="1"/>
      <c r="P34" s="794" t="s">
        <v>209</v>
      </c>
      <c r="Q34" s="795"/>
      <c r="R34" s="796"/>
      <c r="T34" s="794" t="s">
        <v>80</v>
      </c>
      <c r="U34" s="795"/>
      <c r="V34" s="796"/>
    </row>
    <row r="35" spans="1:22" ht="45" hidden="1" customHeight="1" outlineLevel="1">
      <c r="A35" s="241"/>
      <c r="B35" s="243" t="s">
        <v>138</v>
      </c>
      <c r="C35" s="242"/>
      <c r="D35" s="242"/>
      <c r="E35" s="242"/>
      <c r="F35" s="242"/>
      <c r="G35" s="242"/>
      <c r="H35" s="242"/>
      <c r="I35" s="242"/>
      <c r="J35" s="242"/>
      <c r="K35" s="242"/>
      <c r="L35" s="242"/>
      <c r="M35" s="242"/>
      <c r="N35" s="242"/>
      <c r="O35" s="242"/>
      <c r="P35" s="243" t="s">
        <v>749</v>
      </c>
      <c r="Q35" s="243" t="s">
        <v>750</v>
      </c>
      <c r="R35" s="243" t="s">
        <v>751</v>
      </c>
      <c r="S35" s="409" t="s">
        <v>241</v>
      </c>
      <c r="T35" s="243" t="s">
        <v>749</v>
      </c>
      <c r="U35" s="243" t="s">
        <v>750</v>
      </c>
      <c r="V35" s="243" t="s">
        <v>751</v>
      </c>
    </row>
    <row r="36" spans="1:22" hidden="1" outlineLevel="1">
      <c r="A36" s="255" t="s">
        <v>141</v>
      </c>
      <c r="B36" s="256"/>
      <c r="C36" s="257"/>
      <c r="D36" s="257"/>
      <c r="E36" s="257"/>
      <c r="F36" s="257"/>
      <c r="G36" s="257"/>
      <c r="H36" s="257"/>
      <c r="I36" s="257"/>
      <c r="J36" s="257"/>
      <c r="K36" s="257"/>
      <c r="L36" s="257"/>
      <c r="M36" s="257"/>
      <c r="N36" s="257"/>
      <c r="O36" s="257"/>
      <c r="P36" s="400">
        <f>P37*($T$9/SUM($T$9:$T$10))+P38*($T$10/SUM($T$9:$T$10))</f>
        <v>0.7614208350754047</v>
      </c>
      <c r="Q36" s="400">
        <f t="shared" ref="Q36:R36" si="4">Q37*($T$9/SUM($T$9:$T$10))+Q38*($T$10/SUM($T$9:$T$10))</f>
        <v>1.0131212583519753</v>
      </c>
      <c r="R36" s="400">
        <f t="shared" si="4"/>
        <v>0.52775916910055209</v>
      </c>
      <c r="S36" s="438">
        <f>R61</f>
        <v>6.8467417808716166E-2</v>
      </c>
      <c r="T36" s="400">
        <f>P36*(100%+$S36)</f>
        <v>0.813553353518774</v>
      </c>
      <c r="U36" s="400">
        <f t="shared" ref="U36:V36" si="5">Q36*(100%+$S36)</f>
        <v>1.0824870548384522</v>
      </c>
      <c r="V36" s="400">
        <f t="shared" si="5"/>
        <v>0.56389347663374045</v>
      </c>
    </row>
    <row r="37" spans="1:22" hidden="1" outlineLevel="1">
      <c r="A37" s="258" t="s">
        <v>94</v>
      </c>
      <c r="B37" s="259"/>
      <c r="C37" s="259"/>
      <c r="D37" s="259"/>
      <c r="E37" s="259"/>
      <c r="F37" s="259"/>
      <c r="G37" s="259"/>
      <c r="H37" s="259"/>
      <c r="I37" s="259"/>
      <c r="J37" s="259"/>
      <c r="K37" s="259"/>
      <c r="L37" s="259"/>
      <c r="M37" s="259"/>
      <c r="N37" s="259"/>
      <c r="O37" s="259"/>
      <c r="P37" s="444">
        <v>0.43524409976443745</v>
      </c>
      <c r="Q37" s="444">
        <v>0.51477019935298374</v>
      </c>
      <c r="R37" s="444">
        <v>0.32264734419046559</v>
      </c>
      <c r="S37" s="439">
        <f t="shared" ref="S37:S38" si="6">R62</f>
        <v>0.95921725645667899</v>
      </c>
      <c r="T37" s="444">
        <f t="shared" ref="T37:T41" si="7">P37*(100%+$S37)</f>
        <v>0.85273775102943827</v>
      </c>
      <c r="U37" s="444">
        <f t="shared" ref="U37:U41" si="8">Q37*(100%+$S37)</f>
        <v>1.0085466576820106</v>
      </c>
      <c r="V37" s="444">
        <f t="shared" ref="V37:V41" si="9">R37*(100%+$S37)</f>
        <v>0.63213624448787775</v>
      </c>
    </row>
    <row r="38" spans="1:22" hidden="1" outlineLevel="1">
      <c r="A38" s="260" t="s">
        <v>91</v>
      </c>
      <c r="B38" s="261"/>
      <c r="C38" s="261"/>
      <c r="D38" s="261"/>
      <c r="E38" s="261"/>
      <c r="F38" s="261"/>
      <c r="G38" s="261"/>
      <c r="H38" s="261"/>
      <c r="I38" s="261"/>
      <c r="J38" s="261"/>
      <c r="K38" s="261"/>
      <c r="L38" s="261"/>
      <c r="M38" s="261"/>
      <c r="N38" s="261"/>
      <c r="O38" s="261"/>
      <c r="P38" s="445">
        <v>1.4514849246343369</v>
      </c>
      <c r="Q38" s="445">
        <v>2.0674397690851527</v>
      </c>
      <c r="R38" s="445">
        <v>0.96169663119272031</v>
      </c>
      <c r="S38" s="440">
        <f t="shared" si="6"/>
        <v>-0.1808599360528528</v>
      </c>
      <c r="T38" s="445">
        <f t="shared" si="7"/>
        <v>1.1889694539832909</v>
      </c>
      <c r="U38" s="445">
        <f t="shared" si="8"/>
        <v>1.6935227446552872</v>
      </c>
      <c r="V38" s="445">
        <f t="shared" si="9"/>
        <v>0.78776423997296097</v>
      </c>
    </row>
    <row r="39" spans="1:22" hidden="1" outlineLevel="1">
      <c r="A39" s="245" t="s">
        <v>95</v>
      </c>
      <c r="B39" s="246"/>
      <c r="C39" s="246"/>
      <c r="D39" s="246"/>
      <c r="E39" s="246"/>
      <c r="F39" s="246"/>
      <c r="G39" s="246"/>
      <c r="H39" s="246"/>
      <c r="I39" s="246"/>
      <c r="J39" s="246"/>
      <c r="K39" s="246"/>
      <c r="L39" s="246"/>
      <c r="M39" s="246"/>
      <c r="N39" s="246"/>
      <c r="O39" s="246"/>
      <c r="P39" s="446">
        <v>9.9366374909877889E-2</v>
      </c>
      <c r="Q39" s="446">
        <v>7.8629923127591525E-2</v>
      </c>
      <c r="R39" s="446">
        <v>7.120013583451501E-2</v>
      </c>
      <c r="S39" s="441">
        <v>0</v>
      </c>
      <c r="T39" s="446">
        <f t="shared" si="7"/>
        <v>9.9366374909877889E-2</v>
      </c>
      <c r="U39" s="446">
        <f t="shared" si="8"/>
        <v>7.8629923127591525E-2</v>
      </c>
      <c r="V39" s="446">
        <f t="shared" si="9"/>
        <v>7.120013583451501E-2</v>
      </c>
    </row>
    <row r="40" spans="1:22" ht="30" hidden="1" outlineLevel="1">
      <c r="A40" s="337" t="s">
        <v>169</v>
      </c>
      <c r="B40" s="244"/>
      <c r="C40" s="13"/>
      <c r="D40" s="13"/>
      <c r="E40" s="13"/>
      <c r="F40" s="13"/>
      <c r="G40" s="13"/>
      <c r="H40" s="13"/>
      <c r="I40" s="13"/>
      <c r="J40" s="13"/>
      <c r="K40" s="13"/>
      <c r="L40" s="13"/>
      <c r="M40" s="13"/>
      <c r="N40" s="13"/>
      <c r="O40" s="13"/>
      <c r="P40" s="393">
        <v>7.2345883926701893</v>
      </c>
      <c r="Q40" s="393">
        <v>17.755220090995142</v>
      </c>
      <c r="R40" s="393">
        <v>7.03491664945658</v>
      </c>
      <c r="S40" s="394">
        <f>R64</f>
        <v>-0.20300451438497108</v>
      </c>
      <c r="T40" s="393">
        <f t="shared" si="7"/>
        <v>5.765934289241029</v>
      </c>
      <c r="U40" s="393">
        <f t="shared" si="8"/>
        <v>14.150830258624392</v>
      </c>
      <c r="V40" s="393">
        <f t="shared" si="9"/>
        <v>5.6067968112948998</v>
      </c>
    </row>
    <row r="41" spans="1:22" hidden="1" outlineLevel="1">
      <c r="A41" s="255" t="s">
        <v>140</v>
      </c>
      <c r="B41" s="256"/>
      <c r="C41" s="257"/>
      <c r="D41" s="257"/>
      <c r="E41" s="257"/>
      <c r="F41" s="257"/>
      <c r="G41" s="257"/>
      <c r="H41" s="257"/>
      <c r="I41" s="257"/>
      <c r="J41" s="257"/>
      <c r="K41" s="257"/>
      <c r="L41" s="257"/>
      <c r="M41" s="257"/>
      <c r="N41" s="257"/>
      <c r="O41" s="257"/>
      <c r="P41" s="400">
        <v>8.2522034344619701</v>
      </c>
      <c r="Q41" s="400">
        <v>26.741643498891275</v>
      </c>
      <c r="R41" s="400">
        <v>8.6409576433226452</v>
      </c>
      <c r="S41" s="438">
        <f>R65</f>
        <v>-7.2544531021300762E-2</v>
      </c>
      <c r="T41" s="400">
        <f t="shared" si="7"/>
        <v>7.6535512064165587</v>
      </c>
      <c r="U41" s="400">
        <f t="shared" si="8"/>
        <v>24.80168351252539</v>
      </c>
      <c r="V41" s="400">
        <f t="shared" si="9"/>
        <v>8.0141034235128803</v>
      </c>
    </row>
    <row r="42" spans="1:22" hidden="1" outlineLevel="1">
      <c r="A42" s="258" t="s">
        <v>91</v>
      </c>
      <c r="B42" s="259"/>
      <c r="C42" s="259"/>
      <c r="D42" s="259"/>
      <c r="E42" s="259"/>
      <c r="F42" s="259"/>
      <c r="G42" s="259"/>
      <c r="H42" s="259"/>
      <c r="I42" s="259"/>
      <c r="J42" s="259"/>
      <c r="K42" s="259"/>
      <c r="L42" s="259"/>
      <c r="M42" s="259"/>
      <c r="N42" s="259"/>
      <c r="O42" s="259"/>
      <c r="P42" s="444">
        <v>8.286656850730413</v>
      </c>
      <c r="Q42" s="444">
        <v>27.029293621338404</v>
      </c>
      <c r="R42" s="444">
        <v>8.6886450746161739</v>
      </c>
      <c r="S42" s="439" t="s">
        <v>222</v>
      </c>
      <c r="T42" s="444"/>
      <c r="U42" s="444"/>
      <c r="V42" s="444"/>
    </row>
    <row r="43" spans="1:22" hidden="1" outlineLevel="1">
      <c r="A43" s="260" t="s">
        <v>139</v>
      </c>
      <c r="B43" s="261"/>
      <c r="C43" s="261"/>
      <c r="D43" s="261"/>
      <c r="E43" s="261"/>
      <c r="F43" s="261"/>
      <c r="G43" s="261"/>
      <c r="H43" s="261"/>
      <c r="I43" s="261"/>
      <c r="J43" s="261"/>
      <c r="K43" s="261"/>
      <c r="L43" s="261"/>
      <c r="M43" s="261"/>
      <c r="N43" s="261"/>
      <c r="O43" s="261"/>
      <c r="P43" s="445">
        <v>6.7042317082362297</v>
      </c>
      <c r="Q43" s="445">
        <v>13.817692703296029</v>
      </c>
      <c r="R43" s="445">
        <v>6.4983894067345407</v>
      </c>
      <c r="S43" s="440" t="s">
        <v>222</v>
      </c>
      <c r="T43" s="445"/>
      <c r="U43" s="445"/>
      <c r="V43" s="445"/>
    </row>
    <row r="44" spans="1:22" hidden="1" outlineLevel="1">
      <c r="A44" s="245" t="s">
        <v>95</v>
      </c>
      <c r="B44" s="246"/>
      <c r="C44" s="246"/>
      <c r="D44" s="246"/>
      <c r="E44" s="246"/>
      <c r="F44" s="246"/>
      <c r="G44" s="246"/>
      <c r="H44" s="246"/>
      <c r="I44" s="246"/>
      <c r="J44" s="246"/>
      <c r="K44" s="246"/>
      <c r="L44" s="246"/>
      <c r="M44" s="246"/>
      <c r="N44" s="246"/>
      <c r="O44" s="246"/>
      <c r="P44" s="446">
        <v>0.18640304356813431</v>
      </c>
      <c r="Q44" s="446">
        <v>0.62538300037383965</v>
      </c>
      <c r="R44" s="446">
        <v>0.26822627209126854</v>
      </c>
      <c r="S44" s="441">
        <v>0</v>
      </c>
      <c r="T44" s="446">
        <f t="shared" ref="T44:T49" si="10">P44*(100%+$S44)</f>
        <v>0.18640304356813431</v>
      </c>
      <c r="U44" s="446">
        <f t="shared" ref="U44:U49" si="11">Q44*(100%+$S44)</f>
        <v>0.62538300037383965</v>
      </c>
      <c r="V44" s="446">
        <f t="shared" ref="V44:V49" si="12">R44*(100%+$S44)</f>
        <v>0.26822627209126854</v>
      </c>
    </row>
    <row r="45" spans="1:22" s="369" customFormat="1" hidden="1" outlineLevel="1">
      <c r="A45" s="356" t="s">
        <v>196</v>
      </c>
      <c r="B45" s="244"/>
      <c r="C45" s="13"/>
      <c r="D45" s="13"/>
      <c r="E45" s="13"/>
      <c r="F45" s="13"/>
      <c r="G45" s="13"/>
      <c r="H45" s="13"/>
      <c r="I45" s="13"/>
      <c r="J45" s="13"/>
      <c r="K45" s="13"/>
      <c r="L45" s="13"/>
      <c r="M45" s="13"/>
      <c r="N45" s="13"/>
      <c r="O45" s="13"/>
      <c r="P45" s="393">
        <v>7.8132105360006419</v>
      </c>
      <c r="Q45" s="393">
        <v>29.800837221956535</v>
      </c>
      <c r="R45" s="393">
        <v>8.4407791920715596</v>
      </c>
      <c r="S45" s="394">
        <f>R66</f>
        <v>-8.2126034000785095E-2</v>
      </c>
      <c r="T45" s="393">
        <f t="shared" si="10"/>
        <v>7.1715425418657608</v>
      </c>
      <c r="U45" s="393">
        <f t="shared" si="11"/>
        <v>27.353412651014271</v>
      </c>
      <c r="V45" s="393">
        <f t="shared" si="12"/>
        <v>7.7475714731503711</v>
      </c>
    </row>
    <row r="46" spans="1:22" s="369" customFormat="1" hidden="1" outlineLevel="1">
      <c r="A46" s="255" t="s">
        <v>197</v>
      </c>
      <c r="B46" s="256"/>
      <c r="C46" s="257"/>
      <c r="D46" s="257"/>
      <c r="E46" s="257"/>
      <c r="F46" s="257"/>
      <c r="G46" s="257"/>
      <c r="H46" s="257"/>
      <c r="I46" s="257"/>
      <c r="J46" s="257"/>
      <c r="K46" s="257"/>
      <c r="L46" s="257"/>
      <c r="M46" s="257"/>
      <c r="N46" s="257"/>
      <c r="O46" s="257"/>
      <c r="P46" s="400">
        <v>2.0223380126054575</v>
      </c>
      <c r="Q46" s="400">
        <v>2.4959643791889463</v>
      </c>
      <c r="R46" s="400">
        <v>1.2299430109182614</v>
      </c>
      <c r="S46" s="442">
        <f t="shared" ref="S46:S48" si="13">R67</f>
        <v>-0.18763782220990777</v>
      </c>
      <c r="T46" s="400">
        <f t="shared" si="10"/>
        <v>1.6428709121478564</v>
      </c>
      <c r="U46" s="400">
        <f t="shared" si="11"/>
        <v>2.0276270587644278</v>
      </c>
      <c r="V46" s="400">
        <f t="shared" si="12"/>
        <v>0.99915918290726202</v>
      </c>
    </row>
    <row r="47" spans="1:22" s="369" customFormat="1" hidden="1" outlineLevel="1">
      <c r="A47" s="258" t="s">
        <v>94</v>
      </c>
      <c r="B47" s="259"/>
      <c r="C47" s="259"/>
      <c r="D47" s="259"/>
      <c r="E47" s="259"/>
      <c r="F47" s="259"/>
      <c r="G47" s="259"/>
      <c r="H47" s="259"/>
      <c r="I47" s="259"/>
      <c r="J47" s="259"/>
      <c r="K47" s="259"/>
      <c r="L47" s="259"/>
      <c r="M47" s="259"/>
      <c r="N47" s="259"/>
      <c r="O47" s="259"/>
      <c r="P47" s="444">
        <v>0.52270242631969277</v>
      </c>
      <c r="Q47" s="444">
        <v>0.59269424443816709</v>
      </c>
      <c r="R47" s="444">
        <v>0.39104942125749104</v>
      </c>
      <c r="S47" s="439">
        <f t="shared" si="13"/>
        <v>-6.3258357395432771E-2</v>
      </c>
      <c r="T47" s="444">
        <f t="shared" si="10"/>
        <v>0.48963712942410181</v>
      </c>
      <c r="U47" s="444">
        <f t="shared" si="11"/>
        <v>0.55520138009728159</v>
      </c>
      <c r="V47" s="444">
        <f t="shared" si="12"/>
        <v>0.36631227720830756</v>
      </c>
    </row>
    <row r="48" spans="1:22" s="369" customFormat="1" hidden="1" outlineLevel="1">
      <c r="A48" s="260" t="s">
        <v>91</v>
      </c>
      <c r="B48" s="261"/>
      <c r="C48" s="261"/>
      <c r="D48" s="261"/>
      <c r="E48" s="261"/>
      <c r="F48" s="261"/>
      <c r="G48" s="261"/>
      <c r="H48" s="261"/>
      <c r="I48" s="261"/>
      <c r="J48" s="261"/>
      <c r="K48" s="261"/>
      <c r="L48" s="261"/>
      <c r="M48" s="261"/>
      <c r="N48" s="261"/>
      <c r="O48" s="261"/>
      <c r="P48" s="445">
        <v>2.4665496889788314</v>
      </c>
      <c r="Q48" s="445">
        <v>3.0597378884873012</v>
      </c>
      <c r="R48" s="445">
        <v>1.4784342651735989</v>
      </c>
      <c r="S48" s="440">
        <f t="shared" si="13"/>
        <v>-0.11647714294396548</v>
      </c>
      <c r="T48" s="445">
        <f t="shared" si="10"/>
        <v>2.1792530282772504</v>
      </c>
      <c r="U48" s="445">
        <f t="shared" si="11"/>
        <v>2.7033483610788989</v>
      </c>
      <c r="V48" s="445">
        <f t="shared" si="12"/>
        <v>1.3062304659357171</v>
      </c>
    </row>
    <row r="49" spans="1:22" s="369" customFormat="1" hidden="1" outlineLevel="1">
      <c r="A49" s="245" t="s">
        <v>95</v>
      </c>
      <c r="B49" s="246"/>
      <c r="C49" s="246"/>
      <c r="D49" s="246"/>
      <c r="E49" s="246"/>
      <c r="F49" s="246"/>
      <c r="G49" s="246"/>
      <c r="H49" s="246"/>
      <c r="I49" s="246"/>
      <c r="J49" s="246"/>
      <c r="K49" s="246"/>
      <c r="L49" s="246"/>
      <c r="M49" s="246"/>
      <c r="N49" s="246"/>
      <c r="O49" s="246"/>
      <c r="P49" s="446">
        <v>9.9337456859648204E-2</v>
      </c>
      <c r="Q49" s="446">
        <v>7.5863526575267265E-2</v>
      </c>
      <c r="R49" s="446">
        <v>7.0429749339819006E-2</v>
      </c>
      <c r="S49" s="441">
        <v>0</v>
      </c>
      <c r="T49" s="446">
        <f t="shared" si="10"/>
        <v>9.9337456859648204E-2</v>
      </c>
      <c r="U49" s="446">
        <f t="shared" si="11"/>
        <v>7.5863526575267265E-2</v>
      </c>
      <c r="V49" s="446">
        <f t="shared" si="12"/>
        <v>7.0429749339819006E-2</v>
      </c>
    </row>
    <row r="50" spans="1:22" s="369" customFormat="1" hidden="1" outlineLevel="1">
      <c r="A50" s="255" t="s">
        <v>735</v>
      </c>
      <c r="B50" s="256"/>
      <c r="C50" s="257"/>
      <c r="D50" s="257"/>
      <c r="E50" s="257"/>
      <c r="F50" s="257"/>
      <c r="G50" s="257"/>
      <c r="H50" s="257"/>
      <c r="I50" s="257"/>
      <c r="J50" s="257"/>
      <c r="K50" s="257"/>
      <c r="L50" s="257"/>
      <c r="M50" s="257"/>
      <c r="N50" s="257"/>
      <c r="O50" s="257"/>
      <c r="P50" s="400"/>
      <c r="Q50" s="400"/>
      <c r="R50" s="400"/>
      <c r="S50" s="442"/>
      <c r="T50" s="400"/>
      <c r="U50" s="400"/>
      <c r="V50" s="400"/>
    </row>
    <row r="51" spans="1:22" s="369" customFormat="1" hidden="1" outlineLevel="1">
      <c r="A51" s="260" t="s">
        <v>94</v>
      </c>
      <c r="B51" s="261"/>
      <c r="C51" s="261"/>
      <c r="D51" s="261"/>
      <c r="E51" s="261"/>
      <c r="F51" s="261"/>
      <c r="G51" s="261"/>
      <c r="H51" s="261"/>
      <c r="I51" s="261"/>
      <c r="J51" s="261"/>
      <c r="K51" s="261"/>
      <c r="L51" s="261"/>
      <c r="M51" s="261"/>
      <c r="N51" s="261"/>
      <c r="O51" s="261"/>
      <c r="P51" s="445">
        <v>0.74866602397521786</v>
      </c>
      <c r="Q51" s="445">
        <v>0.72895368650847359</v>
      </c>
      <c r="R51" s="445">
        <v>65.82563226904746</v>
      </c>
      <c r="S51" s="440">
        <f>R70</f>
        <v>-0.47713359886470835</v>
      </c>
      <c r="T51" s="445">
        <f t="shared" ref="T51:T52" si="14">P51*(100%+$S51)</f>
        <v>0.39145230960819016</v>
      </c>
      <c r="U51" s="445">
        <f t="shared" ref="U51:U52" si="15">Q51*(100%+$S51)</f>
        <v>0.38114539065898922</v>
      </c>
      <c r="V51" s="445">
        <f t="shared" ref="V51:V52" si="16">R51*(100%+$S51)</f>
        <v>34.418011446971974</v>
      </c>
    </row>
    <row r="52" spans="1:22" s="369" customFormat="1" hidden="1" outlineLevel="1">
      <c r="A52" s="245" t="s">
        <v>95</v>
      </c>
      <c r="B52" s="246"/>
      <c r="C52" s="246"/>
      <c r="D52" s="246"/>
      <c r="E52" s="246"/>
      <c r="F52" s="246"/>
      <c r="G52" s="246"/>
      <c r="H52" s="246"/>
      <c r="I52" s="246"/>
      <c r="J52" s="246"/>
      <c r="K52" s="246"/>
      <c r="L52" s="246"/>
      <c r="M52" s="246"/>
      <c r="N52" s="246"/>
      <c r="O52" s="246"/>
      <c r="P52" s="446">
        <v>2.4850667482242079E-2</v>
      </c>
      <c r="Q52" s="446">
        <v>1.9713800782337778E-2</v>
      </c>
      <c r="R52" s="446">
        <v>1.6381325712427501E-2</v>
      </c>
      <c r="S52" s="441">
        <v>0</v>
      </c>
      <c r="T52" s="446">
        <f t="shared" si="14"/>
        <v>2.4850667482242079E-2</v>
      </c>
      <c r="U52" s="446">
        <f t="shared" si="15"/>
        <v>1.9713800782337778E-2</v>
      </c>
      <c r="V52" s="446">
        <f t="shared" si="16"/>
        <v>1.6381325712427501E-2</v>
      </c>
    </row>
    <row r="53" spans="1:22" hidden="1" outlineLevel="1">
      <c r="A53" s="35" t="s">
        <v>660</v>
      </c>
    </row>
    <row r="54" spans="1:22" hidden="1" outlineLevel="1">
      <c r="A54" s="247" t="s">
        <v>736</v>
      </c>
    </row>
    <row r="55" spans="1:22" hidden="1" outlineLevel="1">
      <c r="A55" s="247" t="s">
        <v>737</v>
      </c>
    </row>
    <row r="56" spans="1:22" hidden="1" outlineLevel="1">
      <c r="A56" s="247" t="s">
        <v>738</v>
      </c>
    </row>
    <row r="57" spans="1:22" hidden="1" outlineLevel="1"/>
    <row r="58" spans="1:22" s="381" customFormat="1" hidden="1" outlineLevel="1">
      <c r="A58" s="1" t="s">
        <v>264</v>
      </c>
    </row>
    <row r="59" spans="1:22" s="381" customFormat="1" hidden="1" outlineLevel="1">
      <c r="A59" s="799"/>
      <c r="B59" s="801" t="s">
        <v>191</v>
      </c>
      <c r="C59" s="242"/>
      <c r="D59" s="242"/>
      <c r="E59" s="242"/>
      <c r="F59" s="242"/>
      <c r="G59" s="242"/>
      <c r="H59" s="242"/>
      <c r="I59" s="242"/>
      <c r="J59" s="242"/>
      <c r="K59" s="242"/>
      <c r="L59" s="242"/>
      <c r="M59" s="242"/>
      <c r="N59" s="242"/>
      <c r="O59" s="242"/>
      <c r="P59" s="242">
        <v>2016</v>
      </c>
      <c r="Q59" s="242">
        <v>2016</v>
      </c>
    </row>
    <row r="60" spans="1:22" s="381" customFormat="1" hidden="1" outlineLevel="1">
      <c r="A60" s="800"/>
      <c r="B60" s="802"/>
      <c r="C60" s="242"/>
      <c r="D60" s="242"/>
      <c r="E60" s="242"/>
      <c r="F60" s="242"/>
      <c r="G60" s="242"/>
      <c r="H60" s="242"/>
      <c r="I60" s="242"/>
      <c r="J60" s="242"/>
      <c r="K60" s="242"/>
      <c r="L60" s="242"/>
      <c r="M60" s="242"/>
      <c r="N60" s="242"/>
      <c r="O60" s="242"/>
      <c r="P60" s="242" t="s">
        <v>209</v>
      </c>
      <c r="Q60" s="242" t="s">
        <v>80</v>
      </c>
      <c r="R60" s="242" t="s">
        <v>210</v>
      </c>
    </row>
    <row r="61" spans="1:22" s="381" customFormat="1" hidden="1" outlineLevel="1">
      <c r="A61" s="466" t="s">
        <v>89</v>
      </c>
      <c r="B61" s="467"/>
      <c r="C61" s="257"/>
      <c r="D61" s="257"/>
      <c r="E61" s="257"/>
      <c r="F61" s="257"/>
      <c r="G61" s="257"/>
      <c r="H61" s="257"/>
      <c r="I61" s="257"/>
      <c r="J61" s="257"/>
      <c r="K61" s="257"/>
      <c r="L61" s="257"/>
      <c r="M61" s="257"/>
      <c r="N61" s="257"/>
      <c r="O61" s="257"/>
      <c r="P61" s="400">
        <v>1.1380336080369999</v>
      </c>
      <c r="Q61" s="400">
        <v>1.2159518305588299</v>
      </c>
      <c r="R61" s="438">
        <f t="shared" ref="R61:R66" si="17">IFERROR((Q61-P61)/P61,"brak")</f>
        <v>6.8467417808716166E-2</v>
      </c>
    </row>
    <row r="62" spans="1:22" s="381" customFormat="1" hidden="1" outlineLevel="1">
      <c r="A62" s="468" t="s">
        <v>94</v>
      </c>
      <c r="B62" s="469"/>
      <c r="C62" s="259"/>
      <c r="D62" s="259"/>
      <c r="E62" s="259"/>
      <c r="F62" s="259"/>
      <c r="G62" s="259"/>
      <c r="H62" s="259"/>
      <c r="I62" s="259"/>
      <c r="J62" s="259"/>
      <c r="K62" s="259"/>
      <c r="L62" s="259"/>
      <c r="M62" s="259"/>
      <c r="N62" s="259"/>
      <c r="O62" s="259"/>
      <c r="P62" s="444">
        <v>0.52695410836604595</v>
      </c>
      <c r="Q62" s="444">
        <v>1.0324175824715001</v>
      </c>
      <c r="R62" s="470">
        <f t="shared" si="17"/>
        <v>0.95921725645667899</v>
      </c>
    </row>
    <row r="63" spans="1:22" s="381" customFormat="1" hidden="1" outlineLevel="1">
      <c r="A63" s="471" t="s">
        <v>91</v>
      </c>
      <c r="B63" s="472"/>
      <c r="C63" s="473"/>
      <c r="D63" s="473"/>
      <c r="E63" s="473"/>
      <c r="F63" s="473"/>
      <c r="G63" s="473"/>
      <c r="H63" s="473"/>
      <c r="I63" s="473"/>
      <c r="J63" s="473"/>
      <c r="K63" s="473"/>
      <c r="L63" s="473"/>
      <c r="M63" s="473"/>
      <c r="N63" s="473"/>
      <c r="O63" s="473"/>
      <c r="P63" s="474">
        <v>1.9006851722579601</v>
      </c>
      <c r="Q63" s="474">
        <v>1.5569273735467799</v>
      </c>
      <c r="R63" s="475">
        <f t="shared" si="17"/>
        <v>-0.1808599360528528</v>
      </c>
    </row>
    <row r="64" spans="1:22" s="381" customFormat="1" hidden="1" outlineLevel="1">
      <c r="A64" s="337" t="s">
        <v>180</v>
      </c>
      <c r="B64" s="10"/>
      <c r="C64" s="13"/>
      <c r="D64" s="13"/>
      <c r="E64" s="13"/>
      <c r="F64" s="13"/>
      <c r="G64" s="13"/>
      <c r="H64" s="13"/>
      <c r="I64" s="13"/>
      <c r="J64" s="13"/>
      <c r="K64" s="13"/>
      <c r="L64" s="13"/>
      <c r="M64" s="13"/>
      <c r="N64" s="13"/>
      <c r="O64" s="13"/>
      <c r="P64" s="393">
        <v>9.3781880607559192</v>
      </c>
      <c r="Q64" s="393">
        <v>7.4743735476712301</v>
      </c>
      <c r="R64" s="394">
        <f t="shared" si="17"/>
        <v>-0.20300451438497108</v>
      </c>
    </row>
    <row r="65" spans="1:19" s="381" customFormat="1" hidden="1" outlineLevel="1">
      <c r="A65" s="337" t="s">
        <v>193</v>
      </c>
      <c r="B65" s="10"/>
      <c r="C65" s="13"/>
      <c r="D65" s="13"/>
      <c r="E65" s="13"/>
      <c r="F65" s="13"/>
      <c r="G65" s="13"/>
      <c r="H65" s="13"/>
      <c r="I65" s="13"/>
      <c r="J65" s="13"/>
      <c r="K65" s="13"/>
      <c r="L65" s="13"/>
      <c r="M65" s="13"/>
      <c r="N65" s="13"/>
      <c r="O65" s="13"/>
      <c r="P65" s="393">
        <v>14.193240289626701</v>
      </c>
      <c r="Q65" s="393">
        <v>13.163598329143101</v>
      </c>
      <c r="R65" s="394">
        <f t="shared" si="17"/>
        <v>-7.2544531021300762E-2</v>
      </c>
    </row>
    <row r="66" spans="1:19" s="381" customFormat="1" hidden="1" outlineLevel="1">
      <c r="A66" s="337" t="s">
        <v>194</v>
      </c>
      <c r="B66" s="10"/>
      <c r="C66" s="13"/>
      <c r="D66" s="13"/>
      <c r="E66" s="13"/>
      <c r="F66" s="13"/>
      <c r="G66" s="13"/>
      <c r="H66" s="13"/>
      <c r="I66" s="13"/>
      <c r="J66" s="13"/>
      <c r="K66" s="13"/>
      <c r="L66" s="13"/>
      <c r="M66" s="13"/>
      <c r="N66" s="13"/>
      <c r="O66" s="13"/>
      <c r="P66" s="393">
        <v>14.3396034451614</v>
      </c>
      <c r="Q66" s="393">
        <v>13.161948685066299</v>
      </c>
      <c r="R66" s="394">
        <f t="shared" si="17"/>
        <v>-8.2126034000785095E-2</v>
      </c>
    </row>
    <row r="67" spans="1:19" s="381" customFormat="1" hidden="1" outlineLevel="1">
      <c r="A67" s="466" t="s">
        <v>192</v>
      </c>
      <c r="B67" s="467"/>
      <c r="C67" s="257"/>
      <c r="D67" s="257"/>
      <c r="E67" s="257"/>
      <c r="F67" s="257"/>
      <c r="G67" s="257"/>
      <c r="H67" s="257"/>
      <c r="I67" s="257"/>
      <c r="J67" s="257"/>
      <c r="K67" s="257"/>
      <c r="L67" s="257"/>
      <c r="M67" s="257"/>
      <c r="N67" s="257"/>
      <c r="O67" s="257"/>
      <c r="P67" s="400">
        <v>3.2395928719261802</v>
      </c>
      <c r="Q67" s="708">
        <f>Q68*(S76/SUM(S76:S77))+Q69*(S77/SUM(S76:S77))</f>
        <v>2.631722720591211</v>
      </c>
      <c r="R67" s="438">
        <f t="shared" ref="R67:R70" si="18">IFERROR((Q67-P67)/P67,"brak")</f>
        <v>-0.18763782220990777</v>
      </c>
    </row>
    <row r="68" spans="1:19" s="381" customFormat="1" hidden="1" outlineLevel="1">
      <c r="A68" s="468" t="s">
        <v>94</v>
      </c>
      <c r="B68" s="469"/>
      <c r="C68" s="259"/>
      <c r="D68" s="259"/>
      <c r="E68" s="259"/>
      <c r="F68" s="259"/>
      <c r="G68" s="259"/>
      <c r="H68" s="259"/>
      <c r="I68" s="259"/>
      <c r="J68" s="259"/>
      <c r="K68" s="259"/>
      <c r="L68" s="259"/>
      <c r="M68" s="259"/>
      <c r="N68" s="259"/>
      <c r="O68" s="259"/>
      <c r="P68" s="444">
        <v>1.1699645996707999</v>
      </c>
      <c r="Q68" s="444">
        <v>1.09595456088482</v>
      </c>
      <c r="R68" s="470">
        <f t="shared" si="18"/>
        <v>-6.3258357395432771E-2</v>
      </c>
    </row>
    <row r="69" spans="1:19" s="381" customFormat="1" hidden="1" outlineLevel="1">
      <c r="A69" s="471" t="s">
        <v>91</v>
      </c>
      <c r="B69" s="472"/>
      <c r="C69" s="473"/>
      <c r="D69" s="473"/>
      <c r="E69" s="473"/>
      <c r="F69" s="473"/>
      <c r="G69" s="473"/>
      <c r="H69" s="473"/>
      <c r="I69" s="473"/>
      <c r="J69" s="473"/>
      <c r="K69" s="473"/>
      <c r="L69" s="473"/>
      <c r="M69" s="473"/>
      <c r="N69" s="473"/>
      <c r="O69" s="473"/>
      <c r="P69" s="474">
        <v>3.36749861662177</v>
      </c>
      <c r="Q69" s="474">
        <v>2.9752619988899101</v>
      </c>
      <c r="R69" s="475">
        <f t="shared" si="18"/>
        <v>-0.11647714294396548</v>
      </c>
    </row>
    <row r="70" spans="1:19" s="381" customFormat="1" hidden="1" outlineLevel="1">
      <c r="A70" s="337" t="s">
        <v>735</v>
      </c>
      <c r="B70" s="10"/>
      <c r="C70" s="13"/>
      <c r="D70" s="13"/>
      <c r="E70" s="13"/>
      <c r="F70" s="13"/>
      <c r="G70" s="13"/>
      <c r="H70" s="13"/>
      <c r="I70" s="13"/>
      <c r="J70" s="13"/>
      <c r="K70" s="13"/>
      <c r="L70" s="13"/>
      <c r="M70" s="13"/>
      <c r="N70" s="13"/>
      <c r="O70" s="13"/>
      <c r="P70" s="393">
        <v>1.17243087901834</v>
      </c>
      <c r="Q70" s="393">
        <v>0.61302471429220595</v>
      </c>
      <c r="R70" s="394">
        <f t="shared" si="18"/>
        <v>-0.47713359886470835</v>
      </c>
    </row>
    <row r="71" spans="1:19" s="381" customFormat="1" hidden="1" outlineLevel="1">
      <c r="A71" s="35" t="s">
        <v>739</v>
      </c>
    </row>
    <row r="72" spans="1:19" s="381" customFormat="1" hidden="1" outlineLevel="1"/>
    <row r="73" spans="1:19" s="369" customFormat="1" hidden="1" outlineLevel="1">
      <c r="A73" s="357" t="s">
        <v>740</v>
      </c>
    </row>
    <row r="74" spans="1:19" s="369" customFormat="1" ht="45" hidden="1" outlineLevel="1">
      <c r="A74" s="797" t="s">
        <v>181</v>
      </c>
      <c r="B74" s="797" t="s">
        <v>182</v>
      </c>
      <c r="C74" s="377"/>
      <c r="D74" s="377"/>
      <c r="E74" s="377"/>
      <c r="F74" s="377"/>
      <c r="G74" s="377"/>
      <c r="H74" s="377"/>
      <c r="I74" s="377"/>
      <c r="J74" s="377"/>
      <c r="K74" s="377"/>
      <c r="L74" s="377"/>
      <c r="M74" s="377"/>
      <c r="N74" s="377"/>
      <c r="O74" s="377"/>
      <c r="P74" s="797"/>
      <c r="Q74" s="378" t="s">
        <v>183</v>
      </c>
      <c r="R74" s="378" t="s">
        <v>184</v>
      </c>
      <c r="S74" s="378" t="s">
        <v>195</v>
      </c>
    </row>
    <row r="75" spans="1:19" s="369" customFormat="1" ht="15.75" hidden="1" outlineLevel="1" thickBot="1">
      <c r="A75" s="798"/>
      <c r="B75" s="798"/>
      <c r="C75" s="379"/>
      <c r="D75" s="379"/>
      <c r="E75" s="379"/>
      <c r="F75" s="379"/>
      <c r="G75" s="379"/>
      <c r="H75" s="379"/>
      <c r="I75" s="379"/>
      <c r="J75" s="379"/>
      <c r="K75" s="379"/>
      <c r="L75" s="379"/>
      <c r="M75" s="379"/>
      <c r="N75" s="379"/>
      <c r="O75" s="379"/>
      <c r="P75" s="798"/>
      <c r="Q75" s="380" t="s">
        <v>185</v>
      </c>
      <c r="R75" s="380" t="s">
        <v>186</v>
      </c>
      <c r="S75" s="380" t="s">
        <v>187</v>
      </c>
    </row>
    <row r="76" spans="1:19" s="369" customFormat="1" hidden="1" outlineLevel="1">
      <c r="A76" s="358" t="s">
        <v>250</v>
      </c>
      <c r="B76" s="370" t="s">
        <v>94</v>
      </c>
      <c r="C76" s="443"/>
      <c r="D76" s="443"/>
      <c r="E76" s="443"/>
      <c r="F76" s="443"/>
      <c r="G76" s="443"/>
      <c r="H76" s="443"/>
      <c r="I76" s="443"/>
      <c r="J76" s="443"/>
      <c r="K76" s="443"/>
      <c r="L76" s="443"/>
      <c r="M76" s="443"/>
      <c r="N76" s="443"/>
      <c r="O76" s="443"/>
      <c r="P76" s="370"/>
      <c r="Q76" s="359">
        <v>347915</v>
      </c>
      <c r="R76" s="360">
        <v>15289.779943376976</v>
      </c>
      <c r="S76" s="359">
        <f>Q76*R76</f>
        <v>5319543789.000001</v>
      </c>
    </row>
    <row r="77" spans="1:19" s="369" customFormat="1" hidden="1" outlineLevel="1">
      <c r="A77" s="358" t="s">
        <v>250</v>
      </c>
      <c r="B77" s="370" t="s">
        <v>251</v>
      </c>
      <c r="C77" s="443"/>
      <c r="D77" s="443"/>
      <c r="E77" s="443"/>
      <c r="F77" s="443"/>
      <c r="G77" s="443"/>
      <c r="H77" s="443"/>
      <c r="I77" s="443"/>
      <c r="J77" s="443"/>
      <c r="K77" s="443"/>
      <c r="L77" s="443"/>
      <c r="M77" s="443"/>
      <c r="N77" s="443"/>
      <c r="O77" s="443"/>
      <c r="P77" s="370"/>
      <c r="Q77" s="359">
        <v>1174543</v>
      </c>
      <c r="R77" s="360">
        <v>20246.72236946625</v>
      </c>
      <c r="S77" s="359">
        <f>Q77*R77</f>
        <v>23780646031.999996</v>
      </c>
    </row>
    <row r="78" spans="1:19" s="369" customFormat="1" hidden="1" outlineLevel="1">
      <c r="A78" s="361" t="s">
        <v>741</v>
      </c>
    </row>
    <row r="79" spans="1:19" s="369" customFormat="1" hidden="1" outlineLevel="1">
      <c r="A79" s="357" t="s">
        <v>742</v>
      </c>
    </row>
    <row r="80" spans="1:19" s="369" customFormat="1" hidden="1" outlineLevel="1"/>
    <row r="81" spans="1:61" hidden="1" outlineLevel="1">
      <c r="A81" s="334" t="s">
        <v>143</v>
      </c>
      <c r="B81" s="164">
        <f>1/100</f>
        <v>0.01</v>
      </c>
      <c r="C81" s="334"/>
      <c r="D81" s="334"/>
      <c r="E81" s="334"/>
      <c r="F81" s="334"/>
      <c r="G81" s="334"/>
      <c r="H81" s="334"/>
      <c r="I81" s="334"/>
      <c r="J81" s="334"/>
      <c r="K81" s="334"/>
      <c r="L81" s="334"/>
      <c r="M81" s="334"/>
      <c r="N81" s="334"/>
      <c r="O81" s="334"/>
      <c r="P81" s="334"/>
      <c r="Q81" s="334"/>
    </row>
    <row r="82" spans="1:61" hidden="1" outlineLevel="1">
      <c r="A82" s="334"/>
      <c r="B82" s="334"/>
      <c r="C82" s="334"/>
      <c r="D82" s="334"/>
      <c r="E82" s="334"/>
      <c r="F82" s="334"/>
      <c r="G82" s="334"/>
      <c r="H82" s="334"/>
      <c r="I82" s="334"/>
      <c r="J82" s="334"/>
      <c r="K82" s="334"/>
      <c r="L82" s="334"/>
      <c r="M82" s="334"/>
      <c r="N82" s="334"/>
      <c r="O82" s="334"/>
      <c r="P82" s="334"/>
      <c r="Q82" s="334"/>
    </row>
    <row r="83" spans="1:61" hidden="1" outlineLevel="1">
      <c r="A83" s="9" t="s">
        <v>2</v>
      </c>
      <c r="B83" s="6"/>
      <c r="C83" s="6"/>
      <c r="D83" s="6"/>
      <c r="E83" s="6"/>
      <c r="F83" s="6"/>
      <c r="G83" s="6"/>
      <c r="H83" s="6"/>
      <c r="I83" s="6"/>
      <c r="J83" s="6"/>
      <c r="K83" s="6"/>
      <c r="L83" s="6"/>
      <c r="M83" s="6"/>
      <c r="N83" s="6"/>
      <c r="O83" s="6"/>
      <c r="P83" s="6"/>
      <c r="Q83" s="6">
        <v>2016</v>
      </c>
    </row>
    <row r="84" spans="1:61" hidden="1" outlineLevel="1">
      <c r="A84" s="8" t="s">
        <v>3</v>
      </c>
      <c r="B84" s="12"/>
      <c r="C84" s="12"/>
      <c r="D84" s="12"/>
      <c r="E84" s="12"/>
      <c r="F84" s="12"/>
      <c r="G84" s="12"/>
      <c r="H84" s="12"/>
      <c r="I84" s="12"/>
      <c r="J84" s="12"/>
      <c r="K84" s="12"/>
      <c r="L84" s="12"/>
      <c r="M84" s="12"/>
      <c r="N84" s="12"/>
      <c r="O84" s="12"/>
      <c r="P84" s="12"/>
      <c r="Q84" s="11">
        <f>Indeksacja!$Q$41</f>
        <v>4.3632</v>
      </c>
    </row>
    <row r="85" spans="1:61" hidden="1" outlineLevel="1">
      <c r="A85" s="35" t="str">
        <f>Indeksacja!$A$42</f>
        <v>Źródło: ECB, http://sdw.ecb.europa.eu/quickview.do?SERIES_KEY=120.EXR.A.PLN.EUR.SP00.A</v>
      </c>
      <c r="B85" s="334"/>
      <c r="C85" s="334"/>
      <c r="D85" s="334"/>
      <c r="E85" s="334"/>
      <c r="F85" s="334"/>
      <c r="G85" s="334"/>
      <c r="H85" s="334"/>
      <c r="I85" s="334"/>
      <c r="J85" s="334"/>
      <c r="K85" s="334"/>
      <c r="L85" s="334"/>
      <c r="M85" s="334"/>
      <c r="N85" s="334"/>
      <c r="O85" s="334"/>
      <c r="P85" s="334"/>
      <c r="Q85" s="334"/>
    </row>
    <row r="86" spans="1:61" hidden="1" outlineLevel="1"/>
    <row r="87" spans="1:61" s="490" customFormat="1" ht="30" hidden="1" outlineLevel="1">
      <c r="A87" s="150" t="s">
        <v>589</v>
      </c>
      <c r="B87" s="6"/>
      <c r="C87" s="6"/>
      <c r="D87" s="6"/>
      <c r="E87" s="6"/>
      <c r="F87" s="6"/>
      <c r="G87" s="6"/>
      <c r="H87" s="6"/>
      <c r="I87" s="6"/>
      <c r="J87" s="6"/>
      <c r="K87" s="6"/>
      <c r="L87" s="6"/>
      <c r="M87" s="6"/>
      <c r="N87" s="6"/>
      <c r="O87" s="6"/>
      <c r="P87" s="6"/>
      <c r="Q87" s="6">
        <v>2016</v>
      </c>
    </row>
    <row r="88" spans="1:61" s="490" customFormat="1" hidden="1" outlineLevel="1">
      <c r="A88" s="8" t="s">
        <v>80</v>
      </c>
      <c r="B88" s="503"/>
      <c r="C88" s="503"/>
      <c r="D88" s="503"/>
      <c r="E88" s="503"/>
      <c r="F88" s="503"/>
      <c r="G88" s="503"/>
      <c r="H88" s="503"/>
      <c r="I88" s="503"/>
      <c r="J88" s="503"/>
      <c r="K88" s="503"/>
      <c r="L88" s="503"/>
      <c r="M88" s="503"/>
      <c r="N88" s="503"/>
      <c r="O88" s="503"/>
      <c r="P88" s="503"/>
      <c r="Q88" s="489">
        <f>Indeksacja!$Q$44</f>
        <v>68.2</v>
      </c>
    </row>
    <row r="89" spans="1:61" s="490" customFormat="1" hidden="1" outlineLevel="1">
      <c r="A89" s="35" t="str">
        <f>Indeksacja!$A$45</f>
        <v>Źródło: Eurostat, https://ec.europa.eu/eurostat/data/database Main GDP aggregates per capita [nama_10_pc] (aktualizacja 28.01.2022)</v>
      </c>
    </row>
    <row r="90" spans="1:61" s="490" customFormat="1" hidden="1" outlineLevel="1"/>
    <row r="91" spans="1:61" s="613" customFormat="1" hidden="1" outlineLevel="1">
      <c r="A91" s="749" t="str">
        <f>'VoT czas ładunki'!$A$41</f>
        <v xml:space="preserve">Wyjaśnienie w sprawie przeliczenia wyjściowych wartości kosztów jednostkowych z zastosowaniem kursu walutowego PLN/EUR oraz PKB Polski per capita w jednostkach siły nabywczej (PPS): </v>
      </c>
      <c r="B91" s="749"/>
      <c r="C91" s="749"/>
      <c r="D91" s="749"/>
      <c r="E91" s="749"/>
      <c r="F91" s="749"/>
      <c r="G91" s="749"/>
      <c r="H91" s="749"/>
      <c r="I91" s="749"/>
      <c r="J91" s="749"/>
      <c r="K91" s="749"/>
      <c r="L91" s="749"/>
      <c r="M91" s="749"/>
      <c r="N91" s="749"/>
      <c r="O91" s="749"/>
      <c r="P91" s="749"/>
      <c r="Q91" s="749"/>
      <c r="R91" s="749"/>
      <c r="S91" s="749"/>
      <c r="T91" s="749"/>
      <c r="U91" s="749"/>
      <c r="V91" s="749"/>
    </row>
    <row r="92" spans="1:61" s="694" customFormat="1" hidden="1" outlineLevel="1">
      <c r="A92" s="749"/>
      <c r="B92" s="749"/>
      <c r="C92" s="749"/>
      <c r="D92" s="749"/>
      <c r="E92" s="749"/>
      <c r="F92" s="749"/>
      <c r="G92" s="749"/>
      <c r="H92" s="749"/>
      <c r="I92" s="749"/>
      <c r="J92" s="749"/>
      <c r="K92" s="749"/>
      <c r="L92" s="749"/>
      <c r="M92" s="749"/>
      <c r="N92" s="749"/>
      <c r="O92" s="749"/>
      <c r="P92" s="749"/>
      <c r="Q92" s="749"/>
      <c r="R92" s="749"/>
      <c r="S92" s="749"/>
      <c r="T92" s="749"/>
      <c r="U92" s="749"/>
      <c r="V92" s="749"/>
    </row>
    <row r="93" spans="1:61" s="613" customFormat="1" hidden="1" outlineLevel="1">
      <c r="A93" s="536" t="s">
        <v>531</v>
      </c>
    </row>
    <row r="94" spans="1:61" s="613" customFormat="1" hidden="1" outlineLevel="1"/>
    <row r="95" spans="1:61" hidden="1" outlineLevel="1">
      <c r="A95" s="9" t="s">
        <v>312</v>
      </c>
      <c r="B95" s="41"/>
      <c r="C95" s="41"/>
      <c r="D95" s="41"/>
      <c r="E95" s="41"/>
      <c r="F95" s="41"/>
      <c r="G95" s="41"/>
      <c r="H95" s="41"/>
      <c r="I95" s="41"/>
      <c r="J95" s="41"/>
      <c r="K95" s="41"/>
      <c r="L95" s="41"/>
      <c r="M95" s="41"/>
      <c r="N95" s="41"/>
      <c r="O95" s="41"/>
      <c r="P95" s="41"/>
      <c r="Q95" s="41">
        <v>2016</v>
      </c>
      <c r="R95" s="41">
        <f>Q95+1</f>
        <v>2017</v>
      </c>
      <c r="S95" s="41">
        <f t="shared" ref="S95:V95" si="19">R95+1</f>
        <v>2018</v>
      </c>
      <c r="T95" s="41">
        <f t="shared" si="19"/>
        <v>2019</v>
      </c>
      <c r="U95" s="41">
        <f t="shared" si="19"/>
        <v>2020</v>
      </c>
      <c r="V95" s="41">
        <f t="shared" si="19"/>
        <v>2021</v>
      </c>
      <c r="W95" s="41">
        <f t="shared" ref="W95" si="20">V95+1</f>
        <v>2022</v>
      </c>
      <c r="X95" s="41">
        <f t="shared" ref="X95" si="21">W95+1</f>
        <v>2023</v>
      </c>
      <c r="Y95" s="41">
        <f t="shared" ref="Y95" si="22">X95+1</f>
        <v>2024</v>
      </c>
      <c r="Z95" s="41">
        <f t="shared" ref="Z95" si="23">Y95+1</f>
        <v>2025</v>
      </c>
      <c r="AA95" s="41">
        <f t="shared" ref="AA95" si="24">Z95+1</f>
        <v>2026</v>
      </c>
      <c r="AB95" s="41">
        <f t="shared" ref="AB95" si="25">AA95+1</f>
        <v>2027</v>
      </c>
      <c r="AC95" s="41">
        <f t="shared" ref="AC95" si="26">AB95+1</f>
        <v>2028</v>
      </c>
      <c r="AD95" s="41">
        <f t="shared" ref="AD95" si="27">AC95+1</f>
        <v>2029</v>
      </c>
      <c r="AE95" s="41">
        <f t="shared" ref="AE95" si="28">AD95+1</f>
        <v>2030</v>
      </c>
      <c r="AF95" s="41">
        <f t="shared" ref="AF95" si="29">AE95+1</f>
        <v>2031</v>
      </c>
      <c r="AG95" s="41">
        <f t="shared" ref="AG95" si="30">AF95+1</f>
        <v>2032</v>
      </c>
      <c r="AH95" s="41">
        <f t="shared" ref="AH95" si="31">AG95+1</f>
        <v>2033</v>
      </c>
      <c r="AI95" s="41">
        <f t="shared" ref="AI95" si="32">AH95+1</f>
        <v>2034</v>
      </c>
      <c r="AJ95" s="41">
        <f t="shared" ref="AJ95" si="33">AI95+1</f>
        <v>2035</v>
      </c>
      <c r="AK95" s="41">
        <f t="shared" ref="AK95" si="34">AJ95+1</f>
        <v>2036</v>
      </c>
      <c r="AL95" s="41">
        <f t="shared" ref="AL95" si="35">AK95+1</f>
        <v>2037</v>
      </c>
      <c r="AM95" s="41">
        <f t="shared" ref="AM95" si="36">AL95+1</f>
        <v>2038</v>
      </c>
      <c r="AN95" s="41">
        <f t="shared" ref="AN95" si="37">AM95+1</f>
        <v>2039</v>
      </c>
      <c r="AO95" s="41">
        <f t="shared" ref="AO95" si="38">AN95+1</f>
        <v>2040</v>
      </c>
      <c r="AP95" s="41">
        <f t="shared" ref="AP95" si="39">AO95+1</f>
        <v>2041</v>
      </c>
      <c r="AQ95" s="41">
        <f t="shared" ref="AQ95" si="40">AP95+1</f>
        <v>2042</v>
      </c>
      <c r="AR95" s="41">
        <f t="shared" ref="AR95" si="41">AQ95+1</f>
        <v>2043</v>
      </c>
      <c r="AS95" s="41">
        <f t="shared" ref="AS95" si="42">AR95+1</f>
        <v>2044</v>
      </c>
      <c r="AT95" s="41">
        <f t="shared" ref="AT95" si="43">AS95+1</f>
        <v>2045</v>
      </c>
      <c r="AU95" s="41">
        <f t="shared" ref="AU95" si="44">AT95+1</f>
        <v>2046</v>
      </c>
      <c r="AV95" s="41">
        <f t="shared" ref="AV95" si="45">AU95+1</f>
        <v>2047</v>
      </c>
      <c r="AW95" s="41">
        <f t="shared" ref="AW95" si="46">AV95+1</f>
        <v>2048</v>
      </c>
      <c r="AX95" s="41">
        <f t="shared" ref="AX95" si="47">AW95+1</f>
        <v>2049</v>
      </c>
      <c r="AY95" s="41">
        <f t="shared" ref="AY95" si="48">AX95+1</f>
        <v>2050</v>
      </c>
      <c r="AZ95" s="41">
        <f t="shared" ref="AZ95" si="49">AY95+1</f>
        <v>2051</v>
      </c>
      <c r="BA95" s="41">
        <f t="shared" ref="BA95" si="50">AZ95+1</f>
        <v>2052</v>
      </c>
      <c r="BB95" s="41">
        <f t="shared" ref="BB95" si="51">BA95+1</f>
        <v>2053</v>
      </c>
      <c r="BC95" s="41">
        <f t="shared" ref="BC95" si="52">BB95+1</f>
        <v>2054</v>
      </c>
      <c r="BD95" s="41">
        <f t="shared" ref="BD95" si="53">BC95+1</f>
        <v>2055</v>
      </c>
      <c r="BE95" s="41">
        <f t="shared" ref="BE95" si="54">BD95+1</f>
        <v>2056</v>
      </c>
      <c r="BF95" s="41">
        <f t="shared" ref="BF95" si="55">BE95+1</f>
        <v>2057</v>
      </c>
      <c r="BG95" s="41">
        <f t="shared" ref="BG95" si="56">BF95+1</f>
        <v>2058</v>
      </c>
      <c r="BH95" s="41">
        <f t="shared" ref="BH95" si="57">BG95+1</f>
        <v>2059</v>
      </c>
      <c r="BI95" s="41">
        <f t="shared" ref="BI95" si="58">BH95+1</f>
        <v>2060</v>
      </c>
    </row>
    <row r="96" spans="1:61" ht="45" hidden="1" outlineLevel="1">
      <c r="A96" s="249" t="str">
        <f>Indeksacja!$A$63</f>
        <v>Indeksacja = Y * (PKB per cap PL) * (inflacja PL do roku bazowego), 
skumulowane od 2016</v>
      </c>
      <c r="B96" s="85"/>
      <c r="C96" s="85"/>
      <c r="D96" s="85"/>
      <c r="E96" s="85"/>
      <c r="F96" s="85"/>
      <c r="G96" s="85"/>
      <c r="H96" s="85"/>
      <c r="I96" s="85"/>
      <c r="J96" s="85"/>
      <c r="K96" s="85"/>
      <c r="L96" s="85"/>
      <c r="M96" s="85"/>
      <c r="N96" s="85"/>
      <c r="O96" s="85"/>
      <c r="P96" s="85"/>
      <c r="Q96" s="518">
        <f>Indeksacja!Q$63</f>
        <v>1</v>
      </c>
      <c r="R96" s="80">
        <f>Indeksacja!R$63</f>
        <v>1.0591673885350317</v>
      </c>
      <c r="S96" s="80">
        <f>Indeksacja!S$63</f>
        <v>1.1226294257010379</v>
      </c>
      <c r="T96" s="80">
        <f>Indeksacja!T$63</f>
        <v>1.1916636822847133</v>
      </c>
      <c r="U96" s="80">
        <f>Indeksacja!U$63</f>
        <v>1.2104272262990794</v>
      </c>
      <c r="V96" s="80">
        <f>Indeksacja!V$63</f>
        <v>1.3324960011633553</v>
      </c>
      <c r="W96" s="80">
        <f>Indeksacja!W$63</f>
        <v>1.3751269409968534</v>
      </c>
      <c r="X96" s="80">
        <f>Indeksacja!X$63</f>
        <v>1.4126904978312076</v>
      </c>
      <c r="Y96" s="80">
        <f>Indeksacja!Y$63</f>
        <v>1.4492185071037047</v>
      </c>
      <c r="Z96" s="80">
        <f>Indeksacja!Z$63</f>
        <v>1.4880680576714531</v>
      </c>
      <c r="AA96" s="80">
        <f>Indeksacja!AA$63</f>
        <v>1.5269880385560826</v>
      </c>
      <c r="AB96" s="80">
        <f>Indeksacja!AB$63</f>
        <v>1.5671555517468385</v>
      </c>
      <c r="AC96" s="80">
        <f>Indeksacja!AC$63</f>
        <v>1.6073562798934755</v>
      </c>
      <c r="AD96" s="80">
        <f>Indeksacja!AD$63</f>
        <v>1.6475326055002302</v>
      </c>
      <c r="AE96" s="80">
        <f>Indeksacja!AE$63</f>
        <v>1.6876232622956184</v>
      </c>
      <c r="AF96" s="80">
        <f>Indeksacja!AF$63</f>
        <v>1.7289568355106617</v>
      </c>
      <c r="AG96" s="80">
        <f>Indeksacja!AG$63</f>
        <v>1.7701718496658987</v>
      </c>
      <c r="AH96" s="80">
        <f>Indeksacja!AH$63</f>
        <v>1.8126134626948676</v>
      </c>
      <c r="AI96" s="80">
        <f>Indeksacja!AI$63</f>
        <v>1.8548440766703791</v>
      </c>
      <c r="AJ96" s="80">
        <f>Indeksacja!AJ$63</f>
        <v>1.8967718070712669</v>
      </c>
      <c r="AK96" s="80">
        <f>Indeksacja!AK$63</f>
        <v>1.9383296682979272</v>
      </c>
      <c r="AL96" s="80">
        <f>Indeksacja!AL$63</f>
        <v>1.9794259962014125</v>
      </c>
      <c r="AM96" s="80">
        <f>Indeksacja!AM$63</f>
        <v>2.0199676772402264</v>
      </c>
      <c r="AN96" s="80">
        <f>Indeksacja!AN$63</f>
        <v>2.0598577518909007</v>
      </c>
      <c r="AO96" s="80">
        <f>Indeksacja!AO$63</f>
        <v>2.1006671073295844</v>
      </c>
      <c r="AP96" s="80">
        <f>Indeksacja!AP$63</f>
        <v>2.1390119388600346</v>
      </c>
      <c r="AQ96" s="80">
        <f>Indeksacja!AQ$63</f>
        <v>2.1781615340961782</v>
      </c>
      <c r="AR96" s="80">
        <f>Indeksacja!AR$63</f>
        <v>2.2181177249402304</v>
      </c>
      <c r="AS96" s="80">
        <f>Indeksacja!AS$63</f>
        <v>2.2571163810937258</v>
      </c>
      <c r="AT96" s="80">
        <f>Indeksacja!AT$63</f>
        <v>2.2950723251970113</v>
      </c>
      <c r="AU96" s="80">
        <f>Indeksacja!AU$63</f>
        <v>2.3319014089895655</v>
      </c>
      <c r="AV96" s="80">
        <f>Indeksacja!AV$63</f>
        <v>2.3694036506022047</v>
      </c>
      <c r="AW96" s="80">
        <f>Indeksacja!AW$63</f>
        <v>2.4075728268350982</v>
      </c>
      <c r="AX96" s="80">
        <f>Indeksacja!AX$63</f>
        <v>2.4464157770152815</v>
      </c>
      <c r="AY96" s="80">
        <f>Indeksacja!AY$63</f>
        <v>2.4839608964222504</v>
      </c>
      <c r="AZ96" s="80">
        <f>Indeksacja!AZ$63</f>
        <v>2.5217507825316035</v>
      </c>
      <c r="BA96" s="80">
        <f>Indeksacja!BA$63</f>
        <v>2.5601155873098516</v>
      </c>
      <c r="BB96" s="80">
        <f>Indeksacja!BB$63</f>
        <v>2.5990640573161898</v>
      </c>
      <c r="BC96" s="80">
        <f>Indeksacja!BC$63</f>
        <v>2.6386050721761096</v>
      </c>
      <c r="BD96" s="80">
        <f>Indeksacja!BD$63</f>
        <v>2.6787476466058107</v>
      </c>
      <c r="BE96" s="80">
        <f>Indeksacja!BE$63</f>
        <v>2.7216545334567064</v>
      </c>
      <c r="BF96" s="80">
        <f>Indeksacja!BF$63</f>
        <v>2.765248682111292</v>
      </c>
      <c r="BG96" s="80">
        <f>Indeksacja!BG$63</f>
        <v>2.8095411007974178</v>
      </c>
      <c r="BH96" s="80">
        <f>Indeksacja!BH$63</f>
        <v>2.856801727519541</v>
      </c>
      <c r="BI96" s="80">
        <f>Indeksacja!BI$63</f>
        <v>2.9048573477149877</v>
      </c>
    </row>
    <row r="97" spans="1:18" hidden="1" outlineLevel="1"/>
    <row r="98" spans="1:18" collapsed="1">
      <c r="A98" s="1" t="s">
        <v>778</v>
      </c>
      <c r="B98" s="334"/>
      <c r="C98" s="334"/>
      <c r="D98" s="334"/>
      <c r="E98" s="334"/>
      <c r="F98" s="334"/>
      <c r="G98" s="334"/>
      <c r="H98" s="334"/>
      <c r="I98" s="334"/>
      <c r="J98" s="334"/>
      <c r="K98" s="334"/>
      <c r="L98" s="334"/>
      <c r="M98" s="334"/>
      <c r="N98" s="334"/>
      <c r="O98" s="334"/>
      <c r="P98" s="334"/>
      <c r="Q98" s="334"/>
      <c r="R98" s="334"/>
    </row>
    <row r="99" spans="1:18" ht="45">
      <c r="A99" s="338"/>
      <c r="B99" s="339" t="s">
        <v>142</v>
      </c>
      <c r="C99" s="340"/>
      <c r="D99" s="340"/>
      <c r="E99" s="340"/>
      <c r="F99" s="340"/>
      <c r="G99" s="340"/>
      <c r="H99" s="340"/>
      <c r="I99" s="340"/>
      <c r="J99" s="340"/>
      <c r="K99" s="340"/>
      <c r="L99" s="340"/>
      <c r="M99" s="340"/>
      <c r="N99" s="340"/>
      <c r="O99" s="340"/>
      <c r="P99" s="339" t="s">
        <v>137</v>
      </c>
      <c r="Q99" s="339" t="s">
        <v>145</v>
      </c>
      <c r="R99" s="339" t="s">
        <v>146</v>
      </c>
    </row>
    <row r="100" spans="1:18">
      <c r="A100" s="203" t="s">
        <v>172</v>
      </c>
      <c r="B100" s="345"/>
      <c r="C100" s="346"/>
      <c r="D100" s="346"/>
      <c r="E100" s="346"/>
      <c r="F100" s="346"/>
      <c r="G100" s="346"/>
      <c r="H100" s="346"/>
      <c r="I100" s="346"/>
      <c r="J100" s="346"/>
      <c r="K100" s="346"/>
      <c r="L100" s="346"/>
      <c r="M100" s="346"/>
      <c r="N100" s="346"/>
      <c r="O100" s="346"/>
      <c r="P100" s="345"/>
      <c r="Q100" s="345"/>
      <c r="R100" s="347"/>
    </row>
    <row r="101" spans="1:18">
      <c r="A101" s="341" t="s">
        <v>122</v>
      </c>
      <c r="B101" s="342"/>
      <c r="C101" s="343"/>
      <c r="D101" s="343"/>
      <c r="E101" s="343"/>
      <c r="F101" s="343"/>
      <c r="G101" s="343"/>
      <c r="H101" s="343"/>
      <c r="I101" s="343"/>
      <c r="J101" s="343"/>
      <c r="K101" s="343"/>
      <c r="L101" s="343"/>
      <c r="M101" s="343"/>
      <c r="N101" s="343"/>
      <c r="O101" s="343"/>
      <c r="P101" s="344">
        <f>T36*$B$81*$Q$84*$Q$88/100</f>
        <v>2.4208926665938643E-2</v>
      </c>
      <c r="Q101" s="344">
        <f>U36*$B$81*$Q$84*$Q$88/100</f>
        <v>3.221159327051714E-2</v>
      </c>
      <c r="R101" s="344">
        <f>V36*$B$81*$Q$84*$Q$88/100</f>
        <v>1.6779791717633656E-2</v>
      </c>
    </row>
    <row r="102" spans="1:18">
      <c r="A102" s="337" t="s">
        <v>171</v>
      </c>
      <c r="B102" s="244"/>
      <c r="C102" s="13"/>
      <c r="D102" s="13"/>
      <c r="E102" s="13"/>
      <c r="F102" s="13"/>
      <c r="G102" s="13"/>
      <c r="H102" s="13"/>
      <c r="I102" s="13"/>
      <c r="J102" s="13"/>
      <c r="K102" s="13"/>
      <c r="L102" s="13"/>
      <c r="M102" s="13"/>
      <c r="N102" s="13"/>
      <c r="O102" s="13"/>
      <c r="P102" s="10">
        <f>T40*$B$81*$Q$84*$Q$88/100</f>
        <v>0.17157704502736823</v>
      </c>
      <c r="Q102" s="10">
        <f>U40*$B$81*$Q$84*$Q$88/100</f>
        <v>0.42108659562581224</v>
      </c>
      <c r="R102" s="10">
        <f>V40*$B$81*$Q$84*$Q$88/100</f>
        <v>0.16684158727682583</v>
      </c>
    </row>
    <row r="103" spans="1:18">
      <c r="A103" s="203" t="s">
        <v>743</v>
      </c>
      <c r="B103" s="345"/>
      <c r="C103" s="346"/>
      <c r="D103" s="346"/>
      <c r="E103" s="346"/>
      <c r="F103" s="346"/>
      <c r="G103" s="346"/>
      <c r="H103" s="346"/>
      <c r="I103" s="346"/>
      <c r="J103" s="346"/>
      <c r="K103" s="346"/>
      <c r="L103" s="346"/>
      <c r="M103" s="346"/>
      <c r="N103" s="346"/>
      <c r="O103" s="346"/>
      <c r="P103" s="345"/>
      <c r="Q103" s="345"/>
      <c r="R103" s="347"/>
    </row>
    <row r="104" spans="1:18" ht="30">
      <c r="A104" s="337" t="s">
        <v>170</v>
      </c>
      <c r="B104" s="244"/>
      <c r="C104" s="13"/>
      <c r="D104" s="13"/>
      <c r="E104" s="13"/>
      <c r="F104" s="13"/>
      <c r="G104" s="13"/>
      <c r="H104" s="13"/>
      <c r="I104" s="13"/>
      <c r="J104" s="13"/>
      <c r="K104" s="13"/>
      <c r="L104" s="13"/>
      <c r="M104" s="13"/>
      <c r="N104" s="13"/>
      <c r="O104" s="13"/>
      <c r="P104" s="10">
        <f>T39*$B$81*$Q$84*$Q$88/100</f>
        <v>2.9568476029862346E-3</v>
      </c>
      <c r="Q104" s="10">
        <f>U39*$B$81*$Q$84*$Q$88/100</f>
        <v>2.339792509625896E-3</v>
      </c>
      <c r="R104" s="10">
        <f>V39*$B$81*$Q$84*$Q$88/100</f>
        <v>2.1187041508309232E-3</v>
      </c>
    </row>
    <row r="105" spans="1:18">
      <c r="A105" s="337" t="s">
        <v>173</v>
      </c>
      <c r="B105" s="244"/>
      <c r="C105" s="13"/>
      <c r="D105" s="13"/>
      <c r="E105" s="13"/>
      <c r="F105" s="13"/>
      <c r="G105" s="13"/>
      <c r="H105" s="13"/>
      <c r="I105" s="13"/>
      <c r="J105" s="13"/>
      <c r="K105" s="13"/>
      <c r="L105" s="13"/>
      <c r="M105" s="13"/>
      <c r="N105" s="13"/>
      <c r="O105" s="13"/>
      <c r="P105" s="10">
        <f>T44*$B$81*$Q$84*$Q$88/100</f>
        <v>5.5467998411300179E-3</v>
      </c>
      <c r="Q105" s="10">
        <f>U44*$B$81*$Q$84*$Q$88/100</f>
        <v>1.8609536951316355E-2</v>
      </c>
      <c r="R105" s="10">
        <f>V44*$B$81*$Q$84*$Q$88/100</f>
        <v>7.9816156160504078E-3</v>
      </c>
    </row>
    <row r="106" spans="1:18"/>
    <row r="107" spans="1:18" ht="15.75" thickBot="1">
      <c r="P107" s="195" t="str">
        <f>'VOC eksploatacja samochody'!$AA$81</f>
        <v xml:space="preserve">Według opracowania źródłowego, poniższe mnożniki dotyczą wszystkich kategorii kosztów użytkowników dróg, oprócz kosztów czasu. </v>
      </c>
      <c r="Q107" s="195"/>
      <c r="R107" s="195"/>
    </row>
    <row r="108" spans="1:18">
      <c r="P108" s="262" t="s">
        <v>45</v>
      </c>
      <c r="Q108" s="263"/>
      <c r="R108" s="264"/>
    </row>
    <row r="109" spans="1:18" ht="15.75" thickBot="1">
      <c r="P109" s="265"/>
      <c r="Q109" s="266" t="s">
        <v>10</v>
      </c>
      <c r="R109" s="267" t="s">
        <v>6</v>
      </c>
    </row>
    <row r="110" spans="1:18" ht="30">
      <c r="P110" s="252" t="s">
        <v>8</v>
      </c>
      <c r="Q110" s="30">
        <v>1</v>
      </c>
      <c r="R110" s="31">
        <v>1</v>
      </c>
    </row>
    <row r="111" spans="1:18" ht="45">
      <c r="P111" s="252" t="s">
        <v>9</v>
      </c>
      <c r="Q111" s="253">
        <f>AVERAGE(Q112:Q113)</f>
        <v>1.1687500000000002</v>
      </c>
      <c r="R111" s="254">
        <f>AVERAGE(R112:R113)</f>
        <v>1.1875</v>
      </c>
    </row>
    <row r="112" spans="1:18">
      <c r="P112" s="268" t="s">
        <v>147</v>
      </c>
      <c r="Q112" s="269">
        <f>'VOC eksploatacja samochody'!$AB$89</f>
        <v>1.1125</v>
      </c>
      <c r="R112" s="270">
        <f>'VOC eksploatacja samochody'!$AC$89</f>
        <v>1.125</v>
      </c>
    </row>
    <row r="113" spans="1:25" ht="15.75" thickBot="1">
      <c r="P113" s="271" t="s">
        <v>148</v>
      </c>
      <c r="Q113" s="250">
        <f>'VOC eksploatacja samochody'!$AB$95</f>
        <v>1.2250000000000001</v>
      </c>
      <c r="R113" s="251">
        <f>'VOC eksploatacja samochody'!$AC$95</f>
        <v>1.25</v>
      </c>
    </row>
    <row r="114" spans="1:25">
      <c r="P114" s="272" t="str">
        <f>'VOC eksploatacja samochody'!$AA$99</f>
        <v>Źródło: Obliczenia własne na podstawie "Optimisation of Maintenance", OECD/ITF 2012, str. 12</v>
      </c>
      <c r="Q114" s="195"/>
      <c r="R114" s="195"/>
    </row>
    <row r="115" spans="1:25"/>
    <row r="116" spans="1:25">
      <c r="A116" s="715" t="str">
        <f>'VOC eksploatacja samochody'!$A$198</f>
        <v xml:space="preserve">Dodatkowo, dla dróg w terenie falistym (tzn. jeśli nachylenie podłużne drogi wynosi pomiędzy 2% i 6%), należy przemnożyć wartości dla terenu płaskiego przez poniższe współczynniki. </v>
      </c>
      <c r="B116" s="715"/>
      <c r="C116" s="715"/>
      <c r="D116" s="715"/>
      <c r="E116" s="715"/>
      <c r="F116" s="715"/>
      <c r="G116" s="715"/>
      <c r="H116" s="715"/>
      <c r="I116" s="715"/>
      <c r="J116" s="715"/>
      <c r="K116" s="715"/>
      <c r="L116" s="715"/>
      <c r="M116" s="715"/>
      <c r="N116" s="715"/>
      <c r="O116" s="715"/>
      <c r="P116" s="715"/>
      <c r="Q116" s="715"/>
      <c r="R116" s="715"/>
      <c r="S116" s="715"/>
      <c r="T116" s="715"/>
      <c r="U116" s="715"/>
      <c r="V116" s="715"/>
    </row>
    <row r="117" spans="1:25" s="690" customFormat="1">
      <c r="A117" s="715"/>
      <c r="B117" s="715"/>
      <c r="C117" s="715"/>
      <c r="D117" s="715"/>
      <c r="E117" s="715"/>
      <c r="F117" s="715"/>
      <c r="G117" s="715"/>
      <c r="H117" s="715"/>
      <c r="I117" s="715"/>
      <c r="J117" s="715"/>
      <c r="K117" s="715"/>
      <c r="L117" s="715"/>
      <c r="M117" s="715"/>
      <c r="N117" s="715"/>
      <c r="O117" s="715"/>
      <c r="P117" s="715"/>
      <c r="Q117" s="715"/>
      <c r="R117" s="715"/>
      <c r="S117" s="715"/>
      <c r="T117" s="715"/>
      <c r="U117" s="715"/>
      <c r="V117" s="715"/>
    </row>
    <row r="118" spans="1:25">
      <c r="A118" s="715" t="str">
        <f>'VOC eksploatacja samochody'!$A$200</f>
        <v xml:space="preserve">Pominięto współczynniki dla dróg w terenie górskim, tj. o nachyleniu podłużnym powyżej 6%, ponieważ nie mają one istotnego znaczenia dla oceny przez CUPT projektów transportowych realizowanych w Polsce. </v>
      </c>
      <c r="B118" s="715"/>
      <c r="C118" s="715"/>
      <c r="D118" s="715"/>
      <c r="E118" s="715"/>
      <c r="F118" s="715"/>
      <c r="G118" s="715"/>
      <c r="H118" s="715"/>
      <c r="I118" s="715"/>
      <c r="J118" s="715"/>
      <c r="K118" s="715"/>
      <c r="L118" s="715"/>
      <c r="M118" s="715"/>
      <c r="N118" s="715"/>
      <c r="O118" s="715"/>
      <c r="P118" s="715"/>
      <c r="Q118" s="715"/>
      <c r="R118" s="715"/>
      <c r="S118" s="715"/>
      <c r="T118" s="715"/>
      <c r="U118" s="715"/>
      <c r="V118" s="715"/>
    </row>
    <row r="119" spans="1:25" s="690" customFormat="1">
      <c r="A119" s="715"/>
      <c r="B119" s="715"/>
      <c r="C119" s="715"/>
      <c r="D119" s="715"/>
      <c r="E119" s="715"/>
      <c r="F119" s="715"/>
      <c r="G119" s="715"/>
      <c r="H119" s="715"/>
      <c r="I119" s="715"/>
      <c r="J119" s="715"/>
      <c r="K119" s="715"/>
      <c r="L119" s="715"/>
      <c r="M119" s="715"/>
      <c r="N119" s="715"/>
      <c r="O119" s="715"/>
      <c r="P119" s="715"/>
      <c r="Q119" s="715"/>
      <c r="R119" s="715"/>
      <c r="S119" s="715"/>
      <c r="T119" s="715"/>
      <c r="U119" s="715"/>
      <c r="V119" s="715"/>
    </row>
    <row r="120" spans="1:25" s="546" customFormat="1" ht="15.75" thickBot="1">
      <c r="A120" s="546" t="s">
        <v>753</v>
      </c>
    </row>
    <row r="121" spans="1:25">
      <c r="P121" s="262" t="s">
        <v>44</v>
      </c>
      <c r="Q121" s="263"/>
      <c r="R121" s="264"/>
    </row>
    <row r="122" spans="1:25" ht="15.75" thickBot="1">
      <c r="P122" s="273" t="s">
        <v>43</v>
      </c>
      <c r="Q122" s="274" t="s">
        <v>10</v>
      </c>
      <c r="R122" s="275" t="s">
        <v>6</v>
      </c>
    </row>
    <row r="123" spans="1:25">
      <c r="P123" s="276" t="s">
        <v>13</v>
      </c>
      <c r="Q123" s="30">
        <f>'Zmiany klimatu (GHG) samochody'!$T$74</f>
        <v>1</v>
      </c>
      <c r="R123" s="31">
        <f>'Zmiany klimatu (GHG) samochody'!$U$74</f>
        <v>1</v>
      </c>
    </row>
    <row r="124" spans="1:25" ht="15.75" thickBot="1">
      <c r="P124" s="277" t="s">
        <v>12</v>
      </c>
      <c r="Q124" s="278">
        <f>'Zmiany klimatu (GHG) samochody'!$T$75</f>
        <v>1.1499999999999999</v>
      </c>
      <c r="R124" s="279">
        <f>'Zmiany klimatu (GHG) samochody'!$U$75</f>
        <v>1.6966788184975283</v>
      </c>
    </row>
    <row r="125" spans="1:25">
      <c r="P125" s="35" t="str">
        <f>'Zmiany klimatu (GHG) samochody'!$S$76</f>
        <v>Źródło: Obliczenia własne</v>
      </c>
      <c r="Q125" s="195"/>
      <c r="R125" s="195"/>
    </row>
    <row r="126" spans="1:25" ht="15" customHeight="1">
      <c r="P126" s="772" t="str">
        <f>'Zmiany klimatu (GHG) samochody'!$S$77</f>
        <v xml:space="preserve">W obliczeniach mnożników nachylenia podłużnego drogi uwzględniono, że teren falisty zwiększa zużycie paliwa lub energii w pojazdach lekkich o 15%. W przypadku HGV przyjęto dodatkowe założenia dotyczące funkcji zużycia paliwa. </v>
      </c>
      <c r="Q126" s="772"/>
      <c r="R126" s="772"/>
      <c r="S126" s="772"/>
      <c r="T126" s="772"/>
      <c r="U126" s="772"/>
      <c r="V126" s="772"/>
      <c r="W126" s="772"/>
      <c r="X126" s="691"/>
      <c r="Y126" s="691"/>
    </row>
    <row r="127" spans="1:25" s="613" customFormat="1">
      <c r="P127" s="772"/>
      <c r="Q127" s="772"/>
      <c r="R127" s="772"/>
      <c r="S127" s="772"/>
      <c r="T127" s="772"/>
      <c r="U127" s="772"/>
      <c r="V127" s="772"/>
      <c r="W127" s="772"/>
      <c r="X127" s="691"/>
      <c r="Y127" s="691"/>
    </row>
    <row r="128" spans="1:25" s="557" customFormat="1"/>
    <row r="129" spans="1:61">
      <c r="A129" s="787" t="s">
        <v>744</v>
      </c>
      <c r="B129" s="787"/>
      <c r="C129" s="787"/>
      <c r="D129" s="787"/>
      <c r="E129" s="787"/>
      <c r="F129" s="787"/>
      <c r="G129" s="787"/>
      <c r="H129" s="787"/>
      <c r="I129" s="787"/>
      <c r="J129" s="787"/>
      <c r="K129" s="787"/>
      <c r="L129" s="787"/>
      <c r="M129" s="787"/>
      <c r="N129" s="787"/>
      <c r="O129" s="787"/>
      <c r="P129" s="787"/>
      <c r="Q129" s="787"/>
      <c r="R129" s="787"/>
      <c r="S129" s="787"/>
      <c r="T129" s="787"/>
      <c r="U129" s="787"/>
      <c r="V129" s="787"/>
    </row>
    <row r="130" spans="1:61" s="690" customFormat="1">
      <c r="A130" s="787"/>
      <c r="B130" s="787"/>
      <c r="C130" s="787"/>
      <c r="D130" s="787"/>
      <c r="E130" s="787"/>
      <c r="F130" s="787"/>
      <c r="G130" s="787"/>
      <c r="H130" s="787"/>
      <c r="I130" s="787"/>
      <c r="J130" s="787"/>
      <c r="K130" s="787"/>
      <c r="L130" s="787"/>
      <c r="M130" s="787"/>
      <c r="N130" s="787"/>
      <c r="O130" s="787"/>
      <c r="P130" s="787"/>
      <c r="Q130" s="787"/>
      <c r="R130" s="787"/>
      <c r="S130" s="787"/>
      <c r="T130" s="787"/>
      <c r="U130" s="787"/>
      <c r="V130" s="787"/>
    </row>
    <row r="131" spans="1:61">
      <c r="A131" s="715" t="s">
        <v>745</v>
      </c>
      <c r="B131" s="715"/>
      <c r="C131" s="715"/>
      <c r="D131" s="715"/>
      <c r="E131" s="715"/>
      <c r="F131" s="715"/>
      <c r="G131" s="715"/>
      <c r="H131" s="715"/>
      <c r="I131" s="715"/>
      <c r="J131" s="715"/>
      <c r="K131" s="715"/>
      <c r="L131" s="715"/>
      <c r="M131" s="715"/>
      <c r="N131" s="715"/>
      <c r="O131" s="715"/>
      <c r="P131" s="715"/>
      <c r="Q131" s="715"/>
      <c r="R131" s="715"/>
      <c r="S131" s="715"/>
      <c r="T131" s="715"/>
      <c r="U131" s="715"/>
      <c r="V131" s="715"/>
    </row>
    <row r="132" spans="1:61" s="690" customFormat="1">
      <c r="A132" s="779"/>
      <c r="B132" s="779"/>
      <c r="C132" s="779"/>
      <c r="D132" s="779"/>
      <c r="E132" s="779"/>
      <c r="F132" s="779"/>
      <c r="G132" s="779"/>
      <c r="H132" s="779"/>
      <c r="I132" s="779"/>
      <c r="J132" s="779"/>
      <c r="K132" s="779"/>
      <c r="L132" s="779"/>
      <c r="M132" s="779"/>
      <c r="N132" s="779"/>
      <c r="O132" s="779"/>
      <c r="P132" s="779"/>
      <c r="Q132" s="779"/>
      <c r="R132" s="779"/>
      <c r="S132" s="779"/>
      <c r="T132" s="779"/>
      <c r="U132" s="779"/>
      <c r="V132" s="779"/>
    </row>
    <row r="133" spans="1:61" s="534" customFormat="1">
      <c r="A133" s="718"/>
      <c r="B133" s="685" t="s">
        <v>328</v>
      </c>
      <c r="C133" s="671"/>
      <c r="D133" s="671"/>
      <c r="E133" s="671"/>
      <c r="F133" s="671"/>
      <c r="G133" s="671"/>
      <c r="H133" s="671"/>
      <c r="I133" s="671"/>
      <c r="J133" s="671"/>
      <c r="K133" s="671"/>
      <c r="L133" s="671"/>
      <c r="M133" s="671"/>
      <c r="N133" s="671"/>
      <c r="O133" s="671"/>
      <c r="P133" s="674"/>
      <c r="Q133" s="6"/>
      <c r="R133" s="6"/>
      <c r="S133" s="6"/>
      <c r="T133" s="6">
        <v>2020</v>
      </c>
      <c r="U133" s="6">
        <f t="shared" ref="U133" si="59">T133+1</f>
        <v>2021</v>
      </c>
      <c r="V133" s="6">
        <f t="shared" ref="V133" si="60">U133+1</f>
        <v>2022</v>
      </c>
      <c r="W133" s="6">
        <f t="shared" ref="W133:BI133" si="61">V133+1</f>
        <v>2023</v>
      </c>
      <c r="X133" s="6">
        <f t="shared" si="61"/>
        <v>2024</v>
      </c>
      <c r="Y133" s="6">
        <f t="shared" si="61"/>
        <v>2025</v>
      </c>
      <c r="Z133" s="6">
        <f t="shared" si="61"/>
        <v>2026</v>
      </c>
      <c r="AA133" s="6">
        <f t="shared" si="61"/>
        <v>2027</v>
      </c>
      <c r="AB133" s="6">
        <f t="shared" si="61"/>
        <v>2028</v>
      </c>
      <c r="AC133" s="6">
        <f t="shared" si="61"/>
        <v>2029</v>
      </c>
      <c r="AD133" s="6">
        <f t="shared" si="61"/>
        <v>2030</v>
      </c>
      <c r="AE133" s="6">
        <f t="shared" si="61"/>
        <v>2031</v>
      </c>
      <c r="AF133" s="6">
        <f t="shared" si="61"/>
        <v>2032</v>
      </c>
      <c r="AG133" s="6">
        <f t="shared" si="61"/>
        <v>2033</v>
      </c>
      <c r="AH133" s="6">
        <f t="shared" si="61"/>
        <v>2034</v>
      </c>
      <c r="AI133" s="6">
        <f t="shared" si="61"/>
        <v>2035</v>
      </c>
      <c r="AJ133" s="6">
        <f t="shared" si="61"/>
        <v>2036</v>
      </c>
      <c r="AK133" s="6">
        <f t="shared" si="61"/>
        <v>2037</v>
      </c>
      <c r="AL133" s="6">
        <f t="shared" si="61"/>
        <v>2038</v>
      </c>
      <c r="AM133" s="6">
        <f t="shared" si="61"/>
        <v>2039</v>
      </c>
      <c r="AN133" s="6">
        <f t="shared" si="61"/>
        <v>2040</v>
      </c>
      <c r="AO133" s="6">
        <f t="shared" si="61"/>
        <v>2041</v>
      </c>
      <c r="AP133" s="6">
        <f t="shared" si="61"/>
        <v>2042</v>
      </c>
      <c r="AQ133" s="6">
        <f t="shared" si="61"/>
        <v>2043</v>
      </c>
      <c r="AR133" s="6">
        <f t="shared" si="61"/>
        <v>2044</v>
      </c>
      <c r="AS133" s="6">
        <f t="shared" si="61"/>
        <v>2045</v>
      </c>
      <c r="AT133" s="6">
        <f t="shared" si="61"/>
        <v>2046</v>
      </c>
      <c r="AU133" s="6">
        <f t="shared" si="61"/>
        <v>2047</v>
      </c>
      <c r="AV133" s="6">
        <f t="shared" si="61"/>
        <v>2048</v>
      </c>
      <c r="AW133" s="6">
        <f t="shared" si="61"/>
        <v>2049</v>
      </c>
      <c r="AX133" s="6">
        <f t="shared" si="61"/>
        <v>2050</v>
      </c>
      <c r="AY133" s="6">
        <f t="shared" si="61"/>
        <v>2051</v>
      </c>
      <c r="AZ133" s="6">
        <f t="shared" si="61"/>
        <v>2052</v>
      </c>
      <c r="BA133" s="6">
        <f t="shared" si="61"/>
        <v>2053</v>
      </c>
      <c r="BB133" s="6">
        <f t="shared" si="61"/>
        <v>2054</v>
      </c>
      <c r="BC133" s="6">
        <f t="shared" si="61"/>
        <v>2055</v>
      </c>
      <c r="BD133" s="6">
        <f t="shared" si="61"/>
        <v>2056</v>
      </c>
      <c r="BE133" s="6">
        <f t="shared" si="61"/>
        <v>2057</v>
      </c>
      <c r="BF133" s="6">
        <f t="shared" si="61"/>
        <v>2058</v>
      </c>
      <c r="BG133" s="6">
        <f t="shared" si="61"/>
        <v>2059</v>
      </c>
      <c r="BH133" s="6">
        <f t="shared" si="61"/>
        <v>2060</v>
      </c>
      <c r="BI133" s="6">
        <f t="shared" si="61"/>
        <v>2061</v>
      </c>
    </row>
    <row r="134" spans="1:61">
      <c r="A134" s="719"/>
      <c r="B134" s="686" t="s">
        <v>530</v>
      </c>
      <c r="C134" s="681"/>
      <c r="D134" s="681"/>
      <c r="E134" s="681"/>
      <c r="F134" s="681"/>
      <c r="G134" s="681"/>
      <c r="H134" s="681"/>
      <c r="I134" s="681"/>
      <c r="J134" s="681"/>
      <c r="K134" s="681"/>
      <c r="L134" s="681"/>
      <c r="M134" s="681"/>
      <c r="N134" s="681"/>
      <c r="O134" s="681"/>
      <c r="P134" s="687"/>
      <c r="Q134" s="683">
        <f>DATE(2016,12,31)</f>
        <v>42735</v>
      </c>
      <c r="R134" s="683">
        <f>DATE(YEAR(Q134+1),12,31)</f>
        <v>43100</v>
      </c>
      <c r="S134" s="683">
        <f t="shared" ref="S134" si="62">DATE(YEAR(R134+1),12,31)</f>
        <v>43465</v>
      </c>
      <c r="T134" s="683">
        <f>DATE(YEAR(S134+1),12,31)</f>
        <v>43830</v>
      </c>
      <c r="U134" s="683">
        <f t="shared" ref="U134:BI134" si="63">DATE(YEAR(T134+1),12,31)</f>
        <v>44196</v>
      </c>
      <c r="V134" s="683">
        <f t="shared" si="63"/>
        <v>44561</v>
      </c>
      <c r="W134" s="683">
        <f t="shared" si="63"/>
        <v>44926</v>
      </c>
      <c r="X134" s="683">
        <f t="shared" si="63"/>
        <v>45291</v>
      </c>
      <c r="Y134" s="683">
        <f t="shared" si="63"/>
        <v>45657</v>
      </c>
      <c r="Z134" s="683">
        <f t="shared" si="63"/>
        <v>46022</v>
      </c>
      <c r="AA134" s="683">
        <f t="shared" si="63"/>
        <v>46387</v>
      </c>
      <c r="AB134" s="683">
        <f t="shared" si="63"/>
        <v>46752</v>
      </c>
      <c r="AC134" s="683">
        <f t="shared" si="63"/>
        <v>47118</v>
      </c>
      <c r="AD134" s="683">
        <f t="shared" si="63"/>
        <v>47483</v>
      </c>
      <c r="AE134" s="683">
        <f t="shared" si="63"/>
        <v>47848</v>
      </c>
      <c r="AF134" s="683">
        <f t="shared" si="63"/>
        <v>48213</v>
      </c>
      <c r="AG134" s="683">
        <f t="shared" si="63"/>
        <v>48579</v>
      </c>
      <c r="AH134" s="683">
        <f t="shared" si="63"/>
        <v>48944</v>
      </c>
      <c r="AI134" s="683">
        <f t="shared" si="63"/>
        <v>49309</v>
      </c>
      <c r="AJ134" s="683">
        <f t="shared" si="63"/>
        <v>49674</v>
      </c>
      <c r="AK134" s="683">
        <f t="shared" si="63"/>
        <v>50040</v>
      </c>
      <c r="AL134" s="683">
        <f t="shared" si="63"/>
        <v>50405</v>
      </c>
      <c r="AM134" s="683">
        <f t="shared" si="63"/>
        <v>50770</v>
      </c>
      <c r="AN134" s="683">
        <f t="shared" si="63"/>
        <v>51135</v>
      </c>
      <c r="AO134" s="683">
        <f t="shared" si="63"/>
        <v>51501</v>
      </c>
      <c r="AP134" s="683">
        <f t="shared" si="63"/>
        <v>51866</v>
      </c>
      <c r="AQ134" s="683">
        <f t="shared" si="63"/>
        <v>52231</v>
      </c>
      <c r="AR134" s="683">
        <f t="shared" si="63"/>
        <v>52596</v>
      </c>
      <c r="AS134" s="683">
        <f t="shared" si="63"/>
        <v>52962</v>
      </c>
      <c r="AT134" s="683">
        <f t="shared" si="63"/>
        <v>53327</v>
      </c>
      <c r="AU134" s="683">
        <f t="shared" si="63"/>
        <v>53692</v>
      </c>
      <c r="AV134" s="683">
        <f t="shared" si="63"/>
        <v>54057</v>
      </c>
      <c r="AW134" s="683">
        <f t="shared" si="63"/>
        <v>54423</v>
      </c>
      <c r="AX134" s="683">
        <f t="shared" si="63"/>
        <v>54788</v>
      </c>
      <c r="AY134" s="683">
        <f t="shared" si="63"/>
        <v>55153</v>
      </c>
      <c r="AZ134" s="683">
        <f t="shared" si="63"/>
        <v>55518</v>
      </c>
      <c r="BA134" s="683">
        <f t="shared" si="63"/>
        <v>55884</v>
      </c>
      <c r="BB134" s="683">
        <f t="shared" si="63"/>
        <v>56249</v>
      </c>
      <c r="BC134" s="683">
        <f t="shared" si="63"/>
        <v>56614</v>
      </c>
      <c r="BD134" s="683">
        <f t="shared" si="63"/>
        <v>56979</v>
      </c>
      <c r="BE134" s="683">
        <f t="shared" si="63"/>
        <v>57345</v>
      </c>
      <c r="BF134" s="683">
        <f t="shared" si="63"/>
        <v>57710</v>
      </c>
      <c r="BG134" s="683">
        <f t="shared" si="63"/>
        <v>58075</v>
      </c>
      <c r="BH134" s="683">
        <f t="shared" si="63"/>
        <v>58440</v>
      </c>
      <c r="BI134" s="683">
        <f t="shared" si="63"/>
        <v>58806</v>
      </c>
    </row>
    <row r="135" spans="1:61" ht="45">
      <c r="A135" s="8" t="s">
        <v>746</v>
      </c>
      <c r="B135" s="129" t="s">
        <v>42</v>
      </c>
      <c r="C135" s="13"/>
      <c r="D135" s="13"/>
      <c r="E135" s="13"/>
      <c r="F135" s="13"/>
      <c r="G135" s="13"/>
      <c r="H135" s="13"/>
      <c r="I135" s="13"/>
      <c r="J135" s="13"/>
      <c r="K135" s="13"/>
      <c r="L135" s="13"/>
      <c r="M135" s="13"/>
      <c r="N135" s="13"/>
      <c r="O135" s="13"/>
      <c r="P135" s="13"/>
      <c r="Q135" s="93"/>
      <c r="R135" s="93"/>
      <c r="S135" s="93"/>
      <c r="T135" s="10">
        <f t="shared" ref="T135:U135" si="64">$Q$101*$Q$110*$Q$123*T$96</f>
        <v>3.8385385849001946E-2</v>
      </c>
      <c r="U135" s="10">
        <f t="shared" si="64"/>
        <v>3.8989789497106152E-2</v>
      </c>
      <c r="V135" s="10">
        <f>$Q$101*$Q$110*$Q$123*V$96</f>
        <v>4.2921819224064538E-2</v>
      </c>
      <c r="W135" s="10">
        <f t="shared" ref="W135:BI135" si="65">$Q$101*$Q$110*$Q$123*W$96</f>
        <v>4.4295029718721061E-2</v>
      </c>
      <c r="X135" s="10">
        <f t="shared" si="65"/>
        <v>4.5505011733263233E-2</v>
      </c>
      <c r="Y135" s="10">
        <f t="shared" si="65"/>
        <v>4.6681637110930589E-2</v>
      </c>
      <c r="Z135" s="10">
        <f t="shared" si="65"/>
        <v>4.7933043032561289E-2</v>
      </c>
      <c r="AA135" s="10">
        <f t="shared" si="65"/>
        <v>4.9186717626913276E-2</v>
      </c>
      <c r="AB135" s="10">
        <f t="shared" si="65"/>
        <v>5.0480577224502041E-2</v>
      </c>
      <c r="AC135" s="10">
        <f t="shared" si="65"/>
        <v>5.1775506728740144E-2</v>
      </c>
      <c r="AD135" s="10">
        <f t="shared" si="65"/>
        <v>5.3069650188288783E-2</v>
      </c>
      <c r="AE135" s="10">
        <f t="shared" si="65"/>
        <v>5.4361034118929723E-2</v>
      </c>
      <c r="AF135" s="10">
        <f t="shared" si="65"/>
        <v>5.569245436774984E-2</v>
      </c>
      <c r="AG135" s="10">
        <f t="shared" si="65"/>
        <v>5.7020055640356941E-2</v>
      </c>
      <c r="AH135" s="10">
        <f t="shared" si="65"/>
        <v>5.8387167616990768E-2</v>
      </c>
      <c r="AI135" s="10">
        <f t="shared" si="65"/>
        <v>5.9747482977934162E-2</v>
      </c>
      <c r="AJ135" s="10">
        <f t="shared" si="65"/>
        <v>6.1098041976363454E-2</v>
      </c>
      <c r="AK135" s="10">
        <f t="shared" si="65"/>
        <v>6.2436686899389235E-2</v>
      </c>
      <c r="AL135" s="10">
        <f t="shared" si="65"/>
        <v>6.3760465098728097E-2</v>
      </c>
      <c r="AM135" s="10">
        <f t="shared" si="65"/>
        <v>6.5066377238853418E-2</v>
      </c>
      <c r="AN135" s="10">
        <f t="shared" si="65"/>
        <v>6.6351300099031507E-2</v>
      </c>
      <c r="AO135" s="10">
        <f t="shared" si="65"/>
        <v>6.7665834458054352E-2</v>
      </c>
      <c r="AP135" s="10">
        <f t="shared" si="65"/>
        <v>6.8900982575339706E-2</v>
      </c>
      <c r="AQ135" s="10">
        <f t="shared" si="65"/>
        <v>7.0162053413791739E-2</v>
      </c>
      <c r="AR135" s="10">
        <f t="shared" si="65"/>
        <v>7.1449105981899519E-2</v>
      </c>
      <c r="AS135" s="10">
        <f t="shared" si="65"/>
        <v>7.270531483201266E-2</v>
      </c>
      <c r="AT135" s="10">
        <f t="shared" si="65"/>
        <v>7.3927936265666169E-2</v>
      </c>
      <c r="AU135" s="10">
        <f t="shared" si="65"/>
        <v>7.5114259733317729E-2</v>
      </c>
      <c r="AV135" s="10">
        <f t="shared" si="65"/>
        <v>7.6322266686876722E-2</v>
      </c>
      <c r="AW135" s="10">
        <f t="shared" si="65"/>
        <v>7.7551756667161381E-2</v>
      </c>
      <c r="AX135" s="10">
        <f t="shared" si="65"/>
        <v>7.8802949979792397E-2</v>
      </c>
      <c r="AY135" s="10">
        <f t="shared" si="65"/>
        <v>8.0012338095422686E-2</v>
      </c>
      <c r="AZ135" s="10">
        <f t="shared" si="65"/>
        <v>8.1229610536516325E-2</v>
      </c>
      <c r="BA135" s="10">
        <f t="shared" si="65"/>
        <v>8.2465402023936055E-2</v>
      </c>
      <c r="BB135" s="10">
        <f t="shared" si="65"/>
        <v>8.3719994298289149E-2</v>
      </c>
      <c r="BC135" s="10">
        <f t="shared" si="65"/>
        <v>8.4993673386460369E-2</v>
      </c>
      <c r="BD135" s="10">
        <f t="shared" si="65"/>
        <v>8.6286729666821355E-2</v>
      </c>
      <c r="BE135" s="10">
        <f t="shared" si="65"/>
        <v>8.7668828854566505E-2</v>
      </c>
      <c r="BF135" s="10">
        <f t="shared" si="65"/>
        <v>8.9073065840002491E-2</v>
      </c>
      <c r="BG135" s="10">
        <f t="shared" si="65"/>
        <v>9.049979521568742E-2</v>
      </c>
      <c r="BH135" s="10">
        <f t="shared" si="65"/>
        <v>9.2022135301370184E-2</v>
      </c>
      <c r="BI135" s="10">
        <f t="shared" si="65"/>
        <v>9.3570083393468367E-2</v>
      </c>
    </row>
    <row r="136" spans="1:61" ht="45">
      <c r="A136" s="8" t="s">
        <v>747</v>
      </c>
      <c r="B136" s="129" t="s">
        <v>42</v>
      </c>
      <c r="C136" s="13"/>
      <c r="D136" s="13"/>
      <c r="E136" s="13"/>
      <c r="F136" s="13"/>
      <c r="G136" s="13"/>
      <c r="H136" s="13"/>
      <c r="I136" s="13"/>
      <c r="J136" s="13"/>
      <c r="K136" s="13"/>
      <c r="L136" s="13"/>
      <c r="M136" s="13"/>
      <c r="N136" s="13"/>
      <c r="O136" s="13"/>
      <c r="P136" s="13"/>
      <c r="Q136" s="93"/>
      <c r="R136" s="93"/>
      <c r="S136" s="93"/>
      <c r="T136" s="10">
        <f t="shared" ref="T136:U136" si="66">$Q$104*$Q$110*$Q$123*T$96</f>
        <v>2.7882457578029857E-3</v>
      </c>
      <c r="U136" s="10">
        <f t="shared" si="66"/>
        <v>2.8321485575418352E-3</v>
      </c>
      <c r="V136" s="10">
        <f>$Q$104*$Q$110*$Q$123*V$96</f>
        <v>3.1177641626284778E-3</v>
      </c>
      <c r="W136" s="10">
        <f t="shared" ref="W136:BI136" si="67">$Q$104*$Q$110*$Q$123*W$96</f>
        <v>3.2175117163292092E-3</v>
      </c>
      <c r="X136" s="10">
        <f t="shared" si="67"/>
        <v>3.3054026452451375E-3</v>
      </c>
      <c r="Y136" s="10">
        <f t="shared" si="67"/>
        <v>3.3908706077324718E-3</v>
      </c>
      <c r="Z136" s="10">
        <f t="shared" si="67"/>
        <v>3.4817704951532217E-3</v>
      </c>
      <c r="AA136" s="10">
        <f t="shared" si="67"/>
        <v>3.5728351749018607E-3</v>
      </c>
      <c r="AB136" s="10">
        <f t="shared" si="67"/>
        <v>3.666818821395891E-3</v>
      </c>
      <c r="AC136" s="10">
        <f t="shared" si="67"/>
        <v>3.760880183994899E-3</v>
      </c>
      <c r="AD136" s="10">
        <f t="shared" si="67"/>
        <v>3.8548844497138749E-3</v>
      </c>
      <c r="AE136" s="10">
        <f t="shared" si="67"/>
        <v>3.9486882681897071E-3</v>
      </c>
      <c r="AF136" s="10">
        <f t="shared" si="67"/>
        <v>4.045400253194339E-3</v>
      </c>
      <c r="AG136" s="10">
        <f t="shared" si="67"/>
        <v>4.141834834598887E-3</v>
      </c>
      <c r="AH136" s="10">
        <f t="shared" si="67"/>
        <v>4.2411394028605094E-3</v>
      </c>
      <c r="AI136" s="10">
        <f t="shared" si="67"/>
        <v>4.3399502771173139E-3</v>
      </c>
      <c r="AJ136" s="10">
        <f t="shared" si="67"/>
        <v>4.4380524666549253E-3</v>
      </c>
      <c r="AK136" s="10">
        <f t="shared" si="67"/>
        <v>4.5352892390691374E-3</v>
      </c>
      <c r="AL136" s="10">
        <f t="shared" si="67"/>
        <v>4.6314461192708423E-3</v>
      </c>
      <c r="AM136" s="10">
        <f t="shared" si="67"/>
        <v>4.7263052408931016E-3</v>
      </c>
      <c r="AN136" s="10">
        <f t="shared" si="67"/>
        <v>4.8196397387691671E-3</v>
      </c>
      <c r="AO136" s="10">
        <f t="shared" si="67"/>
        <v>4.9151251629472601E-3</v>
      </c>
      <c r="AP136" s="10">
        <f t="shared" si="67"/>
        <v>5.0048441125450736E-3</v>
      </c>
      <c r="AQ136" s="10">
        <f t="shared" si="67"/>
        <v>5.0964460422334885E-3</v>
      </c>
      <c r="AR136" s="10">
        <f t="shared" si="67"/>
        <v>5.1899352382835844E-3</v>
      </c>
      <c r="AS136" s="10">
        <f t="shared" si="67"/>
        <v>5.2811840018370092E-3</v>
      </c>
      <c r="AT136" s="10">
        <f t="shared" si="67"/>
        <v>5.3699930355456558E-3</v>
      </c>
      <c r="AU136" s="10">
        <f t="shared" si="67"/>
        <v>5.4561654499398586E-3</v>
      </c>
      <c r="AV136" s="10">
        <f t="shared" si="67"/>
        <v>5.5439129139592926E-3</v>
      </c>
      <c r="AW136" s="10">
        <f t="shared" si="67"/>
        <v>5.6332208666076073E-3</v>
      </c>
      <c r="AX136" s="10">
        <f t="shared" si="67"/>
        <v>5.7241053104909716E-3</v>
      </c>
      <c r="AY136" s="10">
        <f t="shared" si="67"/>
        <v>5.8119530996524078E-3</v>
      </c>
      <c r="AZ136" s="10">
        <f t="shared" si="67"/>
        <v>5.9003735921106873E-3</v>
      </c>
      <c r="BA136" s="10">
        <f t="shared" si="67"/>
        <v>5.9901392749640925E-3</v>
      </c>
      <c r="BB136" s="10">
        <f t="shared" si="67"/>
        <v>6.0812706133463118E-3</v>
      </c>
      <c r="BC136" s="10">
        <f t="shared" si="67"/>
        <v>6.1737883837385578E-3</v>
      </c>
      <c r="BD136" s="10">
        <f t="shared" si="67"/>
        <v>6.2677136787062729E-3</v>
      </c>
      <c r="BE136" s="10">
        <f t="shared" si="67"/>
        <v>6.3681068911713642E-3</v>
      </c>
      <c r="BF136" s="10">
        <f t="shared" si="67"/>
        <v>6.4701081536568819E-3</v>
      </c>
      <c r="BG136" s="10">
        <f t="shared" si="67"/>
        <v>6.5737432231318923E-3</v>
      </c>
      <c r="BH136" s="10">
        <f t="shared" si="67"/>
        <v>6.6843232835365422E-3</v>
      </c>
      <c r="BI136" s="10">
        <f t="shared" si="67"/>
        <v>6.7967634637152753E-3</v>
      </c>
    </row>
    <row r="137" spans="1:61" s="613" customFormat="1" ht="45">
      <c r="A137" s="8" t="s">
        <v>748</v>
      </c>
      <c r="B137" s="129" t="s">
        <v>42</v>
      </c>
      <c r="C137" s="13"/>
      <c r="D137" s="13"/>
      <c r="E137" s="13"/>
      <c r="F137" s="13"/>
      <c r="G137" s="13"/>
      <c r="H137" s="13"/>
      <c r="I137" s="13"/>
      <c r="J137" s="13"/>
      <c r="K137" s="13"/>
      <c r="L137" s="13"/>
      <c r="M137" s="13"/>
      <c r="N137" s="13"/>
      <c r="O137" s="13"/>
      <c r="P137" s="13"/>
      <c r="Q137" s="93"/>
      <c r="R137" s="93"/>
      <c r="S137" s="93"/>
      <c r="T137" s="10">
        <f t="shared" ref="T137:U137" si="68">$Q$102*$R$110*$R$123*T$96</f>
        <v>0.50179360310418952</v>
      </c>
      <c r="U137" s="10">
        <f t="shared" si="68"/>
        <v>0.50969467997507401</v>
      </c>
      <c r="V137" s="10">
        <f>$Q$102*$R$110*$R$123*V$96</f>
        <v>0.56109620481488565</v>
      </c>
      <c r="W137" s="10">
        <f t="shared" ref="W137:BI137" si="69">$Q$102*$R$110*$R$123*W$96</f>
        <v>0.57904752213770216</v>
      </c>
      <c r="X137" s="10">
        <f t="shared" si="69"/>
        <v>0.59486503240467714</v>
      </c>
      <c r="Y137" s="10">
        <f t="shared" si="69"/>
        <v>0.61024648747422106</v>
      </c>
      <c r="Z137" s="10">
        <f t="shared" si="69"/>
        <v>0.626605512464387</v>
      </c>
      <c r="AA137" s="10">
        <f t="shared" si="69"/>
        <v>0.64299419471691732</v>
      </c>
      <c r="AB137" s="10">
        <f t="shared" si="69"/>
        <v>0.65990819610116769</v>
      </c>
      <c r="AC137" s="10">
        <f t="shared" si="69"/>
        <v>0.67683618385811384</v>
      </c>
      <c r="AD137" s="10">
        <f t="shared" si="69"/>
        <v>0.69375389603261628</v>
      </c>
      <c r="AE137" s="10">
        <f t="shared" si="69"/>
        <v>0.71063553421898917</v>
      </c>
      <c r="AF137" s="10">
        <f t="shared" si="69"/>
        <v>0.72804054784916195</v>
      </c>
      <c r="AG137" s="10">
        <f t="shared" si="69"/>
        <v>0.74539563784846041</v>
      </c>
      <c r="AH137" s="10">
        <f t="shared" si="69"/>
        <v>0.76326723219169701</v>
      </c>
      <c r="AI137" s="10">
        <f t="shared" si="69"/>
        <v>0.78104997766183304</v>
      </c>
      <c r="AJ137" s="10">
        <f t="shared" si="69"/>
        <v>0.79870518291865977</v>
      </c>
      <c r="AK137" s="10">
        <f t="shared" si="69"/>
        <v>0.81620464122408409</v>
      </c>
      <c r="AL137" s="10">
        <f t="shared" si="69"/>
        <v>0.83350975403368477</v>
      </c>
      <c r="AM137" s="10">
        <f t="shared" si="69"/>
        <v>0.85058131248326641</v>
      </c>
      <c r="AN137" s="10">
        <f t="shared" si="69"/>
        <v>0.86737848821717833</v>
      </c>
      <c r="AO137" s="10">
        <f t="shared" si="69"/>
        <v>0.88456276076853746</v>
      </c>
      <c r="AP137" s="10">
        <f t="shared" si="69"/>
        <v>0.90070925533753998</v>
      </c>
      <c r="AQ137" s="10">
        <f t="shared" si="69"/>
        <v>0.91719462511565619</v>
      </c>
      <c r="AR137" s="10">
        <f t="shared" si="69"/>
        <v>0.93401964149235339</v>
      </c>
      <c r="AS137" s="10">
        <f t="shared" si="69"/>
        <v>0.95044145284601045</v>
      </c>
      <c r="AT137" s="10">
        <f t="shared" si="69"/>
        <v>0.96642419213222652</v>
      </c>
      <c r="AU137" s="10">
        <f t="shared" si="69"/>
        <v>0.981932425646451</v>
      </c>
      <c r="AV137" s="10">
        <f t="shared" si="69"/>
        <v>0.99772411689545393</v>
      </c>
      <c r="AW137" s="10">
        <f t="shared" si="69"/>
        <v>1.0137966453732046</v>
      </c>
      <c r="AX137" s="10">
        <f t="shared" si="69"/>
        <v>1.030152891028641</v>
      </c>
      <c r="AY137" s="10">
        <f t="shared" si="69"/>
        <v>1.0459626375420863</v>
      </c>
      <c r="AZ137" s="10">
        <f t="shared" si="69"/>
        <v>1.061875452032961</v>
      </c>
      <c r="BA137" s="10">
        <f t="shared" si="69"/>
        <v>1.0780303570688823</v>
      </c>
      <c r="BB137" s="10">
        <f t="shared" si="69"/>
        <v>1.0944310357086853</v>
      </c>
      <c r="BC137" s="10">
        <f t="shared" si="69"/>
        <v>1.1110812270436385</v>
      </c>
      <c r="BD137" s="10">
        <f t="shared" si="69"/>
        <v>1.1279847270498973</v>
      </c>
      <c r="BE137" s="10">
        <f t="shared" si="69"/>
        <v>1.1460522419628427</v>
      </c>
      <c r="BF137" s="10">
        <f t="shared" si="69"/>
        <v>1.1644091536090078</v>
      </c>
      <c r="BG137" s="10">
        <f t="shared" si="69"/>
        <v>1.1830600974055816</v>
      </c>
      <c r="BH137" s="10">
        <f t="shared" si="69"/>
        <v>1.2029609138191428</v>
      </c>
      <c r="BI137" s="10">
        <f t="shared" si="69"/>
        <v>1.2231964913279305</v>
      </c>
    </row>
    <row r="138" spans="1:61" s="613" customFormat="1"/>
    <row r="139" spans="1:61"/>
    <row r="140" spans="1:61">
      <c r="A140" s="720" t="s">
        <v>752</v>
      </c>
      <c r="B140" s="720"/>
      <c r="C140" s="720"/>
      <c r="D140" s="720"/>
      <c r="E140" s="720"/>
      <c r="F140" s="720"/>
      <c r="G140" s="720"/>
      <c r="H140" s="720"/>
      <c r="I140" s="720"/>
      <c r="J140" s="720"/>
      <c r="K140" s="720"/>
      <c r="L140" s="720"/>
      <c r="M140" s="720"/>
      <c r="N140" s="720"/>
      <c r="O140" s="720"/>
      <c r="P140" s="720"/>
      <c r="Q140" s="720"/>
      <c r="R140" s="720"/>
      <c r="S140" s="720"/>
      <c r="T140" s="720"/>
      <c r="U140" s="720"/>
      <c r="V140" s="720"/>
    </row>
    <row r="141" spans="1:61" s="690" customFormat="1">
      <c r="A141" s="720"/>
      <c r="B141" s="720"/>
      <c r="C141" s="720"/>
      <c r="D141" s="720"/>
      <c r="E141" s="720"/>
      <c r="F141" s="720"/>
      <c r="G141" s="720"/>
      <c r="H141" s="720"/>
      <c r="I141" s="720"/>
      <c r="J141" s="720"/>
      <c r="K141" s="720"/>
      <c r="L141" s="720"/>
      <c r="M141" s="720"/>
      <c r="N141" s="720"/>
      <c r="O141" s="720"/>
      <c r="P141" s="720"/>
      <c r="Q141" s="720"/>
      <c r="R141" s="720"/>
      <c r="S141" s="720"/>
      <c r="T141" s="720"/>
      <c r="U141" s="720"/>
      <c r="V141" s="720"/>
    </row>
    <row r="142" spans="1:61">
      <c r="A142" s="782" t="s">
        <v>541</v>
      </c>
      <c r="B142" s="782"/>
      <c r="C142" s="782"/>
      <c r="D142" s="782"/>
      <c r="E142" s="782"/>
      <c r="F142" s="782"/>
      <c r="G142" s="782"/>
      <c r="H142" s="782"/>
      <c r="I142" s="782"/>
      <c r="J142" s="782"/>
      <c r="K142" s="782"/>
      <c r="L142" s="782"/>
      <c r="M142" s="782"/>
      <c r="N142" s="782"/>
      <c r="O142" s="782"/>
      <c r="P142" s="782"/>
      <c r="Q142" s="782"/>
      <c r="R142" s="782"/>
      <c r="S142" s="782"/>
      <c r="T142" s="782"/>
      <c r="U142" s="782"/>
      <c r="V142" s="782"/>
    </row>
    <row r="143" spans="1:61" s="690" customFormat="1">
      <c r="A143" s="782"/>
      <c r="B143" s="782"/>
      <c r="C143" s="782"/>
      <c r="D143" s="782"/>
      <c r="E143" s="782"/>
      <c r="F143" s="782"/>
      <c r="G143" s="782"/>
      <c r="H143" s="782"/>
      <c r="I143" s="782"/>
      <c r="J143" s="782"/>
      <c r="K143" s="782"/>
      <c r="L143" s="782"/>
      <c r="M143" s="782"/>
      <c r="N143" s="782"/>
      <c r="O143" s="782"/>
      <c r="P143" s="782"/>
      <c r="Q143" s="782"/>
      <c r="R143" s="782"/>
      <c r="S143" s="782"/>
      <c r="T143" s="782"/>
      <c r="U143" s="782"/>
      <c r="V143" s="782"/>
    </row>
    <row r="144" spans="1:61" s="613" customFormat="1">
      <c r="A144" s="780" t="s">
        <v>754</v>
      </c>
      <c r="B144" s="780"/>
      <c r="C144" s="780"/>
      <c r="D144" s="780"/>
      <c r="E144" s="780"/>
      <c r="F144" s="780"/>
      <c r="G144" s="780"/>
      <c r="H144" s="780"/>
      <c r="I144" s="780"/>
      <c r="J144" s="780"/>
      <c r="K144" s="780"/>
      <c r="L144" s="780"/>
      <c r="M144" s="780"/>
      <c r="N144" s="780"/>
      <c r="O144" s="780"/>
      <c r="P144" s="780"/>
      <c r="Q144" s="780"/>
      <c r="R144" s="780"/>
      <c r="S144" s="780"/>
      <c r="T144" s="780"/>
      <c r="U144" s="780"/>
      <c r="V144" s="780"/>
    </row>
    <row r="145" spans="1:61" s="690" customFormat="1">
      <c r="A145" s="780"/>
      <c r="B145" s="780"/>
      <c r="C145" s="780"/>
      <c r="D145" s="780"/>
      <c r="E145" s="780"/>
      <c r="F145" s="780"/>
      <c r="G145" s="780"/>
      <c r="H145" s="780"/>
      <c r="I145" s="780"/>
      <c r="J145" s="780"/>
      <c r="K145" s="780"/>
      <c r="L145" s="780"/>
      <c r="M145" s="780"/>
      <c r="N145" s="780"/>
      <c r="O145" s="780"/>
      <c r="P145" s="780"/>
      <c r="Q145" s="780"/>
      <c r="R145" s="780"/>
      <c r="S145" s="780"/>
      <c r="T145" s="780"/>
      <c r="U145" s="780"/>
      <c r="V145" s="780"/>
    </row>
    <row r="146" spans="1:61" s="613" customFormat="1">
      <c r="A146" s="781"/>
      <c r="B146" s="781"/>
      <c r="C146" s="781"/>
      <c r="D146" s="781"/>
      <c r="E146" s="781"/>
      <c r="F146" s="781"/>
      <c r="G146" s="781"/>
      <c r="H146" s="781"/>
      <c r="I146" s="781"/>
      <c r="J146" s="781"/>
      <c r="K146" s="781"/>
      <c r="L146" s="781"/>
      <c r="M146" s="781"/>
      <c r="N146" s="781"/>
      <c r="O146" s="781"/>
      <c r="P146" s="781"/>
      <c r="Q146" s="781"/>
      <c r="R146" s="781"/>
      <c r="S146" s="781"/>
      <c r="T146" s="781"/>
      <c r="U146" s="781"/>
      <c r="V146" s="781"/>
    </row>
    <row r="147" spans="1:61">
      <c r="A147" s="718"/>
      <c r="B147" s="685" t="s">
        <v>328</v>
      </c>
      <c r="C147" s="671"/>
      <c r="D147" s="671"/>
      <c r="E147" s="671"/>
      <c r="F147" s="671"/>
      <c r="G147" s="671"/>
      <c r="H147" s="671"/>
      <c r="I147" s="671"/>
      <c r="J147" s="671"/>
      <c r="K147" s="671"/>
      <c r="L147" s="671"/>
      <c r="M147" s="671"/>
      <c r="N147" s="671"/>
      <c r="O147" s="671"/>
      <c r="P147" s="674"/>
      <c r="Q147" s="6"/>
      <c r="R147" s="6"/>
      <c r="S147" s="6"/>
      <c r="T147" s="6">
        <v>2020</v>
      </c>
      <c r="U147" s="6">
        <f t="shared" ref="U147" si="70">T147+1</f>
        <v>2021</v>
      </c>
      <c r="V147" s="6">
        <f t="shared" ref="V147" si="71">U147+1</f>
        <v>2022</v>
      </c>
      <c r="W147" s="6">
        <f t="shared" ref="W147:AK147" si="72">V147+1</f>
        <v>2023</v>
      </c>
      <c r="X147" s="6">
        <f t="shared" si="72"/>
        <v>2024</v>
      </c>
      <c r="Y147" s="6">
        <f t="shared" si="72"/>
        <v>2025</v>
      </c>
      <c r="Z147" s="6">
        <f t="shared" si="72"/>
        <v>2026</v>
      </c>
      <c r="AA147" s="6">
        <f t="shared" si="72"/>
        <v>2027</v>
      </c>
      <c r="AB147" s="6">
        <f t="shared" si="72"/>
        <v>2028</v>
      </c>
      <c r="AC147" s="6">
        <f t="shared" si="72"/>
        <v>2029</v>
      </c>
      <c r="AD147" s="6">
        <f t="shared" si="72"/>
        <v>2030</v>
      </c>
      <c r="AE147" s="6">
        <f t="shared" si="72"/>
        <v>2031</v>
      </c>
      <c r="AF147" s="6">
        <f t="shared" si="72"/>
        <v>2032</v>
      </c>
      <c r="AG147" s="6">
        <f t="shared" si="72"/>
        <v>2033</v>
      </c>
      <c r="AH147" s="6">
        <f t="shared" si="72"/>
        <v>2034</v>
      </c>
      <c r="AI147" s="6">
        <f t="shared" si="72"/>
        <v>2035</v>
      </c>
      <c r="AJ147" s="6">
        <f t="shared" si="72"/>
        <v>2036</v>
      </c>
      <c r="AK147" s="6">
        <f t="shared" si="72"/>
        <v>2037</v>
      </c>
      <c r="AL147" s="6">
        <f t="shared" ref="AL147:BA147" si="73">AK147+1</f>
        <v>2038</v>
      </c>
      <c r="AM147" s="6">
        <f t="shared" si="73"/>
        <v>2039</v>
      </c>
      <c r="AN147" s="6">
        <f t="shared" si="73"/>
        <v>2040</v>
      </c>
      <c r="AO147" s="6">
        <f t="shared" si="73"/>
        <v>2041</v>
      </c>
      <c r="AP147" s="6">
        <f t="shared" si="73"/>
        <v>2042</v>
      </c>
      <c r="AQ147" s="6">
        <f t="shared" si="73"/>
        <v>2043</v>
      </c>
      <c r="AR147" s="6">
        <f t="shared" si="73"/>
        <v>2044</v>
      </c>
      <c r="AS147" s="6">
        <f t="shared" si="73"/>
        <v>2045</v>
      </c>
      <c r="AT147" s="6">
        <f t="shared" si="73"/>
        <v>2046</v>
      </c>
      <c r="AU147" s="6">
        <f t="shared" si="73"/>
        <v>2047</v>
      </c>
      <c r="AV147" s="6">
        <f t="shared" si="73"/>
        <v>2048</v>
      </c>
      <c r="AW147" s="6">
        <f t="shared" si="73"/>
        <v>2049</v>
      </c>
      <c r="AX147" s="6">
        <f t="shared" si="73"/>
        <v>2050</v>
      </c>
      <c r="AY147" s="6">
        <f t="shared" si="73"/>
        <v>2051</v>
      </c>
      <c r="AZ147" s="6">
        <f t="shared" si="73"/>
        <v>2052</v>
      </c>
      <c r="BA147" s="6">
        <f t="shared" si="73"/>
        <v>2053</v>
      </c>
      <c r="BB147" s="6">
        <f t="shared" ref="BB147:BI147" si="74">BA147+1</f>
        <v>2054</v>
      </c>
      <c r="BC147" s="6">
        <f t="shared" si="74"/>
        <v>2055</v>
      </c>
      <c r="BD147" s="6">
        <f t="shared" si="74"/>
        <v>2056</v>
      </c>
      <c r="BE147" s="6">
        <f t="shared" si="74"/>
        <v>2057</v>
      </c>
      <c r="BF147" s="6">
        <f t="shared" si="74"/>
        <v>2058</v>
      </c>
      <c r="BG147" s="6">
        <f t="shared" si="74"/>
        <v>2059</v>
      </c>
      <c r="BH147" s="6">
        <f t="shared" si="74"/>
        <v>2060</v>
      </c>
      <c r="BI147" s="6">
        <f t="shared" si="74"/>
        <v>2061</v>
      </c>
    </row>
    <row r="148" spans="1:61">
      <c r="A148" s="719"/>
      <c r="B148" s="686" t="s">
        <v>530</v>
      </c>
      <c r="C148" s="681"/>
      <c r="D148" s="681"/>
      <c r="E148" s="681"/>
      <c r="F148" s="681"/>
      <c r="G148" s="681"/>
      <c r="H148" s="681"/>
      <c r="I148" s="681"/>
      <c r="J148" s="681"/>
      <c r="K148" s="681"/>
      <c r="L148" s="681"/>
      <c r="M148" s="681"/>
      <c r="N148" s="681"/>
      <c r="O148" s="681"/>
      <c r="P148" s="687"/>
      <c r="Q148" s="683">
        <f>DATE(2016,12,31)</f>
        <v>42735</v>
      </c>
      <c r="R148" s="683">
        <f>DATE(YEAR(Q148+1),12,31)</f>
        <v>43100</v>
      </c>
      <c r="S148" s="683">
        <f t="shared" ref="S148" si="75">DATE(YEAR(R148+1),12,31)</f>
        <v>43465</v>
      </c>
      <c r="T148" s="683">
        <f>DATE(YEAR(S148+1),12,31)</f>
        <v>43830</v>
      </c>
      <c r="U148" s="683">
        <f t="shared" ref="U148:BI148" si="76">DATE(YEAR(T148+1),12,31)</f>
        <v>44196</v>
      </c>
      <c r="V148" s="683">
        <f t="shared" si="76"/>
        <v>44561</v>
      </c>
      <c r="W148" s="683">
        <f t="shared" si="76"/>
        <v>44926</v>
      </c>
      <c r="X148" s="683">
        <f t="shared" si="76"/>
        <v>45291</v>
      </c>
      <c r="Y148" s="683">
        <f t="shared" si="76"/>
        <v>45657</v>
      </c>
      <c r="Z148" s="683">
        <f t="shared" si="76"/>
        <v>46022</v>
      </c>
      <c r="AA148" s="683">
        <f t="shared" si="76"/>
        <v>46387</v>
      </c>
      <c r="AB148" s="683">
        <f t="shared" si="76"/>
        <v>46752</v>
      </c>
      <c r="AC148" s="683">
        <f t="shared" si="76"/>
        <v>47118</v>
      </c>
      <c r="AD148" s="683">
        <f t="shared" si="76"/>
        <v>47483</v>
      </c>
      <c r="AE148" s="683">
        <f t="shared" si="76"/>
        <v>47848</v>
      </c>
      <c r="AF148" s="683">
        <f t="shared" si="76"/>
        <v>48213</v>
      </c>
      <c r="AG148" s="683">
        <f t="shared" si="76"/>
        <v>48579</v>
      </c>
      <c r="AH148" s="683">
        <f t="shared" si="76"/>
        <v>48944</v>
      </c>
      <c r="AI148" s="683">
        <f t="shared" si="76"/>
        <v>49309</v>
      </c>
      <c r="AJ148" s="683">
        <f t="shared" si="76"/>
        <v>49674</v>
      </c>
      <c r="AK148" s="683">
        <f t="shared" si="76"/>
        <v>50040</v>
      </c>
      <c r="AL148" s="683">
        <f t="shared" si="76"/>
        <v>50405</v>
      </c>
      <c r="AM148" s="683">
        <f t="shared" si="76"/>
        <v>50770</v>
      </c>
      <c r="AN148" s="683">
        <f t="shared" si="76"/>
        <v>51135</v>
      </c>
      <c r="AO148" s="683">
        <f t="shared" si="76"/>
        <v>51501</v>
      </c>
      <c r="AP148" s="683">
        <f t="shared" si="76"/>
        <v>51866</v>
      </c>
      <c r="AQ148" s="683">
        <f t="shared" si="76"/>
        <v>52231</v>
      </c>
      <c r="AR148" s="683">
        <f t="shared" si="76"/>
        <v>52596</v>
      </c>
      <c r="AS148" s="683">
        <f t="shared" si="76"/>
        <v>52962</v>
      </c>
      <c r="AT148" s="683">
        <f t="shared" si="76"/>
        <v>53327</v>
      </c>
      <c r="AU148" s="683">
        <f t="shared" si="76"/>
        <v>53692</v>
      </c>
      <c r="AV148" s="683">
        <f t="shared" si="76"/>
        <v>54057</v>
      </c>
      <c r="AW148" s="683">
        <f t="shared" si="76"/>
        <v>54423</v>
      </c>
      <c r="AX148" s="683">
        <f t="shared" si="76"/>
        <v>54788</v>
      </c>
      <c r="AY148" s="683">
        <f t="shared" si="76"/>
        <v>55153</v>
      </c>
      <c r="AZ148" s="683">
        <f t="shared" si="76"/>
        <v>55518</v>
      </c>
      <c r="BA148" s="683">
        <f t="shared" si="76"/>
        <v>55884</v>
      </c>
      <c r="BB148" s="683">
        <f t="shared" si="76"/>
        <v>56249</v>
      </c>
      <c r="BC148" s="683">
        <f t="shared" si="76"/>
        <v>56614</v>
      </c>
      <c r="BD148" s="683">
        <f t="shared" si="76"/>
        <v>56979</v>
      </c>
      <c r="BE148" s="683">
        <f t="shared" si="76"/>
        <v>57345</v>
      </c>
      <c r="BF148" s="683">
        <f t="shared" si="76"/>
        <v>57710</v>
      </c>
      <c r="BG148" s="683">
        <f t="shared" si="76"/>
        <v>58075</v>
      </c>
      <c r="BH148" s="683">
        <f t="shared" si="76"/>
        <v>58440</v>
      </c>
      <c r="BI148" s="683">
        <f t="shared" si="76"/>
        <v>58806</v>
      </c>
    </row>
    <row r="149" spans="1:61" ht="60">
      <c r="A149" s="8" t="s">
        <v>755</v>
      </c>
      <c r="B149" s="129" t="s">
        <v>42</v>
      </c>
      <c r="C149" s="13"/>
      <c r="D149" s="13"/>
      <c r="E149" s="13"/>
      <c r="F149" s="13"/>
      <c r="G149" s="13"/>
      <c r="H149" s="13"/>
      <c r="I149" s="13"/>
      <c r="J149" s="13"/>
      <c r="K149" s="13"/>
      <c r="L149" s="13"/>
      <c r="M149" s="13"/>
      <c r="N149" s="13"/>
      <c r="O149" s="13"/>
      <c r="P149" s="13"/>
      <c r="Q149" s="93"/>
      <c r="R149" s="93"/>
      <c r="S149" s="93"/>
      <c r="T149" s="10">
        <f t="shared" ref="T149:U149" si="77">T$135*U$8+T$136*U$11</f>
        <v>3.8132969764718895E-2</v>
      </c>
      <c r="U149" s="10">
        <f t="shared" si="77"/>
        <v>3.847700840741778E-2</v>
      </c>
      <c r="V149" s="10">
        <f t="shared" ref="V149:BI149" si="78">V$135*W$8+V$136*W$11</f>
        <v>4.2075078416393984E-2</v>
      </c>
      <c r="W149" s="10">
        <f t="shared" si="78"/>
        <v>4.3129921935380483E-2</v>
      </c>
      <c r="X149" s="10">
        <f t="shared" si="78"/>
        <v>4.4008843774688035E-2</v>
      </c>
      <c r="Y149" s="10">
        <f t="shared" si="78"/>
        <v>4.483981177243087E-2</v>
      </c>
      <c r="Z149" s="10">
        <f t="shared" si="78"/>
        <v>4.5726643504795383E-2</v>
      </c>
      <c r="AA149" s="10">
        <f t="shared" si="78"/>
        <v>4.6599166476908239E-2</v>
      </c>
      <c r="AB149" s="10">
        <f t="shared" si="78"/>
        <v>4.7493008279140152E-2</v>
      </c>
      <c r="AC149" s="10">
        <f t="shared" si="78"/>
        <v>4.8370833210112721E-2</v>
      </c>
      <c r="AD149" s="10">
        <f t="shared" si="78"/>
        <v>4.9230898460679934E-2</v>
      </c>
      <c r="AE149" s="10">
        <f t="shared" si="78"/>
        <v>4.9791154967560133E-2</v>
      </c>
      <c r="AF149" s="10">
        <f t="shared" si="78"/>
        <v>5.0357313677716252E-2</v>
      </c>
      <c r="AG149" s="10">
        <f t="shared" si="78"/>
        <v>5.0888825937929281E-2</v>
      </c>
      <c r="AH149" s="10">
        <f t="shared" si="78"/>
        <v>5.1423988388653606E-2</v>
      </c>
      <c r="AI149" s="10">
        <f t="shared" si="78"/>
        <v>5.1921168983943763E-2</v>
      </c>
      <c r="AJ149" s="10">
        <f t="shared" si="78"/>
        <v>5.2378069590819289E-2</v>
      </c>
      <c r="AK149" s="10">
        <f t="shared" si="78"/>
        <v>5.2793209119062899E-2</v>
      </c>
      <c r="AL149" s="10">
        <f t="shared" si="78"/>
        <v>5.3164544897609328E-2</v>
      </c>
      <c r="AM149" s="10">
        <f t="shared" si="78"/>
        <v>5.3490134426044701E-2</v>
      </c>
      <c r="AN149" s="10">
        <f t="shared" si="78"/>
        <v>5.3768075555357821E-2</v>
      </c>
      <c r="AO149" s="10">
        <f t="shared" si="78"/>
        <v>5.4039517934621806E-2</v>
      </c>
      <c r="AP149" s="10">
        <f t="shared" si="78"/>
        <v>5.4217649956589453E-2</v>
      </c>
      <c r="AQ149" s="10">
        <f t="shared" si="78"/>
        <v>5.4386896906557389E-2</v>
      </c>
      <c r="AR149" s="10">
        <f t="shared" si="78"/>
        <v>5.454639152520304E-2</v>
      </c>
      <c r="AS149" s="10">
        <f t="shared" si="78"/>
        <v>5.465250380223307E-2</v>
      </c>
      <c r="AT149" s="10">
        <f t="shared" si="78"/>
        <v>5.4704288983940315E-2</v>
      </c>
      <c r="AU149" s="10">
        <f t="shared" si="78"/>
        <v>5.4700955203573778E-2</v>
      </c>
      <c r="AV149" s="10">
        <f t="shared" si="78"/>
        <v>5.4685323938495789E-2</v>
      </c>
      <c r="AW149" s="10">
        <f t="shared" si="78"/>
        <v>5.465649079505501E-2</v>
      </c>
      <c r="AX149" s="10">
        <f t="shared" si="78"/>
        <v>5.4613852394253627E-2</v>
      </c>
      <c r="AY149" s="10">
        <f t="shared" si="78"/>
        <v>5.5452010661822725E-2</v>
      </c>
      <c r="AZ149" s="10">
        <f t="shared" si="78"/>
        <v>5.6295633107918061E-2</v>
      </c>
      <c r="BA149" s="10">
        <f t="shared" si="78"/>
        <v>5.7152090054026342E-2</v>
      </c>
      <c r="BB149" s="10">
        <f t="shared" si="78"/>
        <v>5.8021576758573078E-2</v>
      </c>
      <c r="BC149" s="10">
        <f t="shared" si="78"/>
        <v>5.8904291450559448E-2</v>
      </c>
      <c r="BD149" s="10">
        <f t="shared" si="78"/>
        <v>5.9800435374755267E-2</v>
      </c>
      <c r="BE149" s="10">
        <f t="shared" si="78"/>
        <v>6.0758289884682716E-2</v>
      </c>
      <c r="BF149" s="10">
        <f t="shared" si="78"/>
        <v>6.1731486845822095E-2</v>
      </c>
      <c r="BG149" s="10">
        <f t="shared" si="78"/>
        <v>6.2720272006151545E-2</v>
      </c>
      <c r="BH149" s="10">
        <f t="shared" si="78"/>
        <v>6.3775319523467253E-2</v>
      </c>
      <c r="BI149" s="10">
        <f t="shared" si="78"/>
        <v>6.4848114496720108E-2</v>
      </c>
    </row>
    <row r="150" spans="1:61" ht="60">
      <c r="A150" s="8" t="s">
        <v>756</v>
      </c>
      <c r="B150" s="129" t="s">
        <v>42</v>
      </c>
      <c r="C150" s="13"/>
      <c r="D150" s="13"/>
      <c r="E150" s="13"/>
      <c r="F150" s="13"/>
      <c r="G150" s="13"/>
      <c r="H150" s="13"/>
      <c r="I150" s="13"/>
      <c r="J150" s="13"/>
      <c r="K150" s="13"/>
      <c r="L150" s="13"/>
      <c r="M150" s="13"/>
      <c r="N150" s="13"/>
      <c r="O150" s="13"/>
      <c r="P150" s="13"/>
      <c r="Q150" s="93"/>
      <c r="R150" s="93"/>
      <c r="S150" s="93"/>
      <c r="T150" s="10">
        <f t="shared" ref="T150:U150" si="79">T$137*U$15+(0)*U$16</f>
        <v>0.50179360310418952</v>
      </c>
      <c r="U150" s="10">
        <f t="shared" si="79"/>
        <v>0.50969467997507401</v>
      </c>
      <c r="V150" s="10">
        <f t="shared" ref="V150:BI150" si="80">V$137*W$15+(0)*W$16</f>
        <v>0.56109620481488565</v>
      </c>
      <c r="W150" s="10">
        <f t="shared" si="80"/>
        <v>0.57904752213770216</v>
      </c>
      <c r="X150" s="10">
        <f t="shared" si="80"/>
        <v>0.59486503240467714</v>
      </c>
      <c r="Y150" s="10">
        <f t="shared" si="80"/>
        <v>0.61024648747422106</v>
      </c>
      <c r="Z150" s="10">
        <f t="shared" si="80"/>
        <v>0.626605512464387</v>
      </c>
      <c r="AA150" s="10">
        <f t="shared" si="80"/>
        <v>0.64299419471691732</v>
      </c>
      <c r="AB150" s="10">
        <f t="shared" si="80"/>
        <v>0.65990819610116769</v>
      </c>
      <c r="AC150" s="10">
        <f t="shared" si="80"/>
        <v>0.67683618385811384</v>
      </c>
      <c r="AD150" s="10">
        <f t="shared" si="80"/>
        <v>0.69375389603261628</v>
      </c>
      <c r="AE150" s="10">
        <f t="shared" si="80"/>
        <v>0.71063553421898917</v>
      </c>
      <c r="AF150" s="10">
        <f t="shared" si="80"/>
        <v>0.72804054784916195</v>
      </c>
      <c r="AG150" s="10">
        <f t="shared" si="80"/>
        <v>0.74539563784846041</v>
      </c>
      <c r="AH150" s="10">
        <f t="shared" si="80"/>
        <v>0.76326723219169701</v>
      </c>
      <c r="AI150" s="10">
        <f t="shared" si="80"/>
        <v>0.78104997766183304</v>
      </c>
      <c r="AJ150" s="10">
        <f t="shared" si="80"/>
        <v>0.79870518291865977</v>
      </c>
      <c r="AK150" s="10">
        <f t="shared" si="80"/>
        <v>0.81620464122408409</v>
      </c>
      <c r="AL150" s="10">
        <f t="shared" si="80"/>
        <v>0.83350975403368477</v>
      </c>
      <c r="AM150" s="10">
        <f t="shared" si="80"/>
        <v>0.85058131248326641</v>
      </c>
      <c r="AN150" s="10">
        <f t="shared" si="80"/>
        <v>0.86737848821717833</v>
      </c>
      <c r="AO150" s="10">
        <f t="shared" si="80"/>
        <v>0.88456276076853746</v>
      </c>
      <c r="AP150" s="10">
        <f t="shared" si="80"/>
        <v>0.90070925533753998</v>
      </c>
      <c r="AQ150" s="10">
        <f t="shared" si="80"/>
        <v>0.91719462511565619</v>
      </c>
      <c r="AR150" s="10">
        <f t="shared" si="80"/>
        <v>0.93401964149235339</v>
      </c>
      <c r="AS150" s="10">
        <f t="shared" si="80"/>
        <v>0.95044145284601045</v>
      </c>
      <c r="AT150" s="10">
        <f t="shared" si="80"/>
        <v>0.96642419213222652</v>
      </c>
      <c r="AU150" s="10">
        <f t="shared" si="80"/>
        <v>0.981932425646451</v>
      </c>
      <c r="AV150" s="10">
        <f t="shared" si="80"/>
        <v>0.99772411689545393</v>
      </c>
      <c r="AW150" s="10">
        <f t="shared" si="80"/>
        <v>1.0137966453732046</v>
      </c>
      <c r="AX150" s="10">
        <f t="shared" si="80"/>
        <v>1.030152891028641</v>
      </c>
      <c r="AY150" s="10">
        <f t="shared" si="80"/>
        <v>1.0459626375420863</v>
      </c>
      <c r="AZ150" s="10">
        <f t="shared" si="80"/>
        <v>1.061875452032961</v>
      </c>
      <c r="BA150" s="10">
        <f t="shared" si="80"/>
        <v>1.0780303570688823</v>
      </c>
      <c r="BB150" s="10">
        <f t="shared" si="80"/>
        <v>1.0944310357086853</v>
      </c>
      <c r="BC150" s="10">
        <f t="shared" si="80"/>
        <v>1.1110812270436385</v>
      </c>
      <c r="BD150" s="10">
        <f t="shared" si="80"/>
        <v>1.1279847270498973</v>
      </c>
      <c r="BE150" s="10">
        <f t="shared" si="80"/>
        <v>1.1460522419628427</v>
      </c>
      <c r="BF150" s="10">
        <f t="shared" si="80"/>
        <v>1.1644091536090078</v>
      </c>
      <c r="BG150" s="10">
        <f t="shared" si="80"/>
        <v>1.1830600974055816</v>
      </c>
      <c r="BH150" s="10">
        <f t="shared" si="80"/>
        <v>1.2029609138191428</v>
      </c>
      <c r="BI150" s="10">
        <f t="shared" si="80"/>
        <v>1.2231964913279305</v>
      </c>
    </row>
    <row r="151" spans="1:61"/>
  </sheetData>
  <mergeCells count="22">
    <mergeCell ref="A147:A148"/>
    <mergeCell ref="A133:A134"/>
    <mergeCell ref="T34:V34"/>
    <mergeCell ref="P34:R34"/>
    <mergeCell ref="A74:A75"/>
    <mergeCell ref="B74:B75"/>
    <mergeCell ref="P74:P75"/>
    <mergeCell ref="A59:A60"/>
    <mergeCell ref="B59:B60"/>
    <mergeCell ref="P126:W127"/>
    <mergeCell ref="A140:V141"/>
    <mergeCell ref="A142:V143"/>
    <mergeCell ref="A144:V146"/>
    <mergeCell ref="A91:V92"/>
    <mergeCell ref="A18:V19"/>
    <mergeCell ref="A20:V21"/>
    <mergeCell ref="A26:V27"/>
    <mergeCell ref="A28:V29"/>
    <mergeCell ref="A131:V132"/>
    <mergeCell ref="A129:V130"/>
    <mergeCell ref="A116:V117"/>
    <mergeCell ref="A118:V119"/>
  </mergeCells>
  <hyperlinks>
    <hyperlink ref="A93" location="Indeksacja!A29" display="Nota metodologiczna"/>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Spis tabel</vt:lpstr>
      <vt:lpstr>Indeksacja</vt:lpstr>
      <vt:lpstr>VoT czas pasażerowie</vt:lpstr>
      <vt:lpstr>VoT czas ładunki</vt:lpstr>
      <vt:lpstr>VOC eksploatacja samochody</vt:lpstr>
      <vt:lpstr>VOC eksploatacja pociągi</vt:lpstr>
      <vt:lpstr>Zmiany klimatu (GHG) samochody</vt:lpstr>
      <vt:lpstr>Zmiany klimatu (GHG) pociągi</vt:lpstr>
      <vt:lpstr>Zanieczyszczenia samochody</vt:lpstr>
      <vt:lpstr>Zanieczyszczenia pociągi</vt:lpstr>
      <vt:lpstr>Zanieczyszczenia transp.ląd</vt:lpstr>
      <vt:lpstr>Hałas-zdezagr.krańc</vt:lpstr>
      <vt:lpstr>Hałas-zagreg.śred.PL</vt:lpstr>
      <vt:lpstr>Wypadki</vt:lpstr>
      <vt:lpstr>ECT2019 koszty zewnętrzne</vt:lpstr>
      <vt:lpstr>Utrzymanie dróg</vt:lpstr>
      <vt:lpstr>E-Busy emisje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Mierzejewski</dc:creator>
  <cp:lastModifiedBy>Piotr Mierzejewski</cp:lastModifiedBy>
  <dcterms:created xsi:type="dcterms:W3CDTF">2020-10-08T13:28:33Z</dcterms:created>
  <dcterms:modified xsi:type="dcterms:W3CDTF">2022-05-24T06:50:16Z</dcterms:modified>
</cp:coreProperties>
</file>