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p22\CUPT\DAT\WAK\Wewnętrzny\KPO\PKS\"/>
    </mc:Choice>
  </mc:AlternateContent>
  <bookViews>
    <workbookView xWindow="0" yWindow="0" windowWidth="20190" windowHeight="7080" tabRatio="934"/>
  </bookViews>
  <sheets>
    <sheet name="Wstęp" sheetId="38" r:id="rId1"/>
    <sheet name="Założenia" sheetId="35" r:id="rId2"/>
    <sheet name="Emisje W0 trasa istniejąca" sheetId="34" r:id="rId3"/>
    <sheet name="Emisje WI trasa istniejąca" sheetId="40" r:id="rId4"/>
    <sheet name="Emisje WI trasa nowa" sheetId="42" r:id="rId5"/>
    <sheet name="Wskaźnik redukcji emisji" sheetId="37" r:id="rId6"/>
    <sheet name="Indeksacja" sheetId="8" state="hidden" r:id="rId7"/>
    <sheet name="VOC eksploatacja samochody" sheetId="14" state="hidden" r:id="rId8"/>
    <sheet name="Zmiany klimatu (GHG) samochody" sheetId="17" state="hidden" r:id="rId9"/>
    <sheet name="Zanieczyszczenia samochody" sheetId="19" state="hidden" r:id="rId10"/>
    <sheet name="Zanieczyszczenia transp.ląd" sheetId="16" state="hidden" r:id="rId11"/>
    <sheet name="ECT2019 koszty zewnętrzne" sheetId="28" state="hidden" r:id="rId12"/>
  </sheets>
  <definedNames>
    <definedName name="_xlnm._FilterDatabase" localSheetId="2" hidden="1">'Emisje W0 trasa istniejąca'!$A$11:$A$17</definedName>
    <definedName name="_xlnm._FilterDatabase" localSheetId="3" hidden="1">'Emisje WI trasa istniejąca'!$A$11:$A$17</definedName>
    <definedName name="_xlnm._FilterDatabase" localSheetId="4" hidden="1">'Emisje WI trasa nowa'!$A$11:$A$17</definedName>
  </definedName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35" l="1"/>
  <c r="G10" i="35"/>
  <c r="H10" i="35"/>
  <c r="I10" i="35"/>
  <c r="J10" i="35"/>
  <c r="K10" i="35"/>
  <c r="L10" i="35"/>
  <c r="M10" i="35"/>
  <c r="N10" i="35"/>
  <c r="O10" i="35"/>
  <c r="P10" i="35"/>
  <c r="Q10" i="35"/>
  <c r="R10" i="35"/>
  <c r="S10" i="35"/>
  <c r="T10" i="35"/>
  <c r="U10" i="35"/>
  <c r="V10" i="35"/>
  <c r="E10" i="35"/>
  <c r="T204" i="37" l="1"/>
  <c r="U204" i="37"/>
  <c r="T125" i="37"/>
  <c r="U125" i="37"/>
  <c r="V125" i="37"/>
  <c r="V204" i="37" s="1"/>
  <c r="T46" i="37"/>
  <c r="U46" i="37"/>
  <c r="V46" i="37"/>
  <c r="T27" i="37"/>
  <c r="U27" i="37"/>
  <c r="V27" i="37"/>
  <c r="F11" i="35"/>
  <c r="G11" i="35"/>
  <c r="H11" i="35"/>
  <c r="I11" i="35"/>
  <c r="J11" i="35"/>
  <c r="K11" i="35"/>
  <c r="L11" i="35"/>
  <c r="M11" i="35"/>
  <c r="N11" i="35"/>
  <c r="O11" i="35"/>
  <c r="P11" i="35"/>
  <c r="Q11" i="35"/>
  <c r="R11" i="35"/>
  <c r="S11" i="35"/>
  <c r="T11" i="35"/>
  <c r="U11" i="35"/>
  <c r="V11" i="35"/>
  <c r="E11" i="35"/>
  <c r="D9" i="35"/>
  <c r="V118" i="35" s="1"/>
  <c r="P93" i="35" l="1"/>
  <c r="E107" i="35"/>
  <c r="Q115" i="35"/>
  <c r="F115" i="35"/>
  <c r="G114" i="35"/>
  <c r="S112" i="35"/>
  <c r="Q111" i="35"/>
  <c r="O110" i="35"/>
  <c r="M109" i="35"/>
  <c r="K108" i="35"/>
  <c r="I107" i="35"/>
  <c r="G106" i="35"/>
  <c r="S104" i="35"/>
  <c r="Q103" i="35"/>
  <c r="O102" i="35"/>
  <c r="M101" i="35"/>
  <c r="U111" i="35"/>
  <c r="U103" i="35"/>
  <c r="V105" i="35"/>
  <c r="T132" i="35"/>
  <c r="G129" i="35"/>
  <c r="K125" i="35"/>
  <c r="O121" i="35"/>
  <c r="E101" i="35"/>
  <c r="E111" i="35"/>
  <c r="M115" i="35"/>
  <c r="P114" i="35"/>
  <c r="P113" i="35"/>
  <c r="N112" i="35"/>
  <c r="L111" i="35"/>
  <c r="J110" i="35"/>
  <c r="H109" i="35"/>
  <c r="F108" i="35"/>
  <c r="R106" i="35"/>
  <c r="P105" i="35"/>
  <c r="N104" i="35"/>
  <c r="L103" i="35"/>
  <c r="J102" i="35"/>
  <c r="H101" i="35"/>
  <c r="T109" i="35"/>
  <c r="T101" i="35"/>
  <c r="E118" i="35"/>
  <c r="H132" i="35"/>
  <c r="L128" i="35"/>
  <c r="P124" i="35"/>
  <c r="T120" i="35"/>
  <c r="E102" i="35"/>
  <c r="E113" i="35"/>
  <c r="L115" i="35"/>
  <c r="O114" i="35"/>
  <c r="M113" i="35"/>
  <c r="K112" i="35"/>
  <c r="I111" i="35"/>
  <c r="G110" i="35"/>
  <c r="S108" i="35"/>
  <c r="Q107" i="35"/>
  <c r="O106" i="35"/>
  <c r="M105" i="35"/>
  <c r="K104" i="35"/>
  <c r="I103" i="35"/>
  <c r="G102" i="35"/>
  <c r="U115" i="35"/>
  <c r="U107" i="35"/>
  <c r="V113" i="35"/>
  <c r="E123" i="35"/>
  <c r="V130" i="35"/>
  <c r="I127" i="35"/>
  <c r="M123" i="35"/>
  <c r="Q119" i="35"/>
  <c r="E106" i="35"/>
  <c r="R115" i="35"/>
  <c r="H115" i="35"/>
  <c r="J114" i="35"/>
  <c r="H113" i="35"/>
  <c r="F112" i="35"/>
  <c r="R110" i="35"/>
  <c r="P109" i="35"/>
  <c r="N108" i="35"/>
  <c r="L107" i="35"/>
  <c r="J106" i="35"/>
  <c r="H105" i="35"/>
  <c r="F104" i="35"/>
  <c r="R102" i="35"/>
  <c r="P101" i="35"/>
  <c r="T113" i="35"/>
  <c r="T105" i="35"/>
  <c r="V108" i="35"/>
  <c r="E126" i="35"/>
  <c r="J130" i="35"/>
  <c r="N126" i="35"/>
  <c r="R122" i="35"/>
  <c r="G118" i="35"/>
  <c r="K118" i="35"/>
  <c r="O118" i="35"/>
  <c r="S118" i="35"/>
  <c r="F119" i="35"/>
  <c r="J119" i="35"/>
  <c r="N119" i="35"/>
  <c r="R119" i="35"/>
  <c r="V119" i="35"/>
  <c r="I120" i="35"/>
  <c r="M120" i="35"/>
  <c r="Q120" i="35"/>
  <c r="U120" i="35"/>
  <c r="H121" i="35"/>
  <c r="L121" i="35"/>
  <c r="P121" i="35"/>
  <c r="T121" i="35"/>
  <c r="G122" i="35"/>
  <c r="K122" i="35"/>
  <c r="O122" i="35"/>
  <c r="S122" i="35"/>
  <c r="F123" i="35"/>
  <c r="J123" i="35"/>
  <c r="N123" i="35"/>
  <c r="R123" i="35"/>
  <c r="V123" i="35"/>
  <c r="I124" i="35"/>
  <c r="M124" i="35"/>
  <c r="Q124" i="35"/>
  <c r="U124" i="35"/>
  <c r="H125" i="35"/>
  <c r="L125" i="35"/>
  <c r="P125" i="35"/>
  <c r="T125" i="35"/>
  <c r="G126" i="35"/>
  <c r="K126" i="35"/>
  <c r="O126" i="35"/>
  <c r="S126" i="35"/>
  <c r="F127" i="35"/>
  <c r="J127" i="35"/>
  <c r="N127" i="35"/>
  <c r="R127" i="35"/>
  <c r="V127" i="35"/>
  <c r="I128" i="35"/>
  <c r="M128" i="35"/>
  <c r="Q128" i="35"/>
  <c r="U128" i="35"/>
  <c r="H129" i="35"/>
  <c r="L129" i="35"/>
  <c r="P129" i="35"/>
  <c r="T129" i="35"/>
  <c r="G130" i="35"/>
  <c r="K130" i="35"/>
  <c r="O130" i="35"/>
  <c r="S130" i="35"/>
  <c r="F131" i="35"/>
  <c r="J131" i="35"/>
  <c r="N131" i="35"/>
  <c r="R131" i="35"/>
  <c r="V131" i="35"/>
  <c r="I132" i="35"/>
  <c r="M132" i="35"/>
  <c r="Q132" i="35"/>
  <c r="U132" i="35"/>
  <c r="H118" i="35"/>
  <c r="L118" i="35"/>
  <c r="P118" i="35"/>
  <c r="T118" i="35"/>
  <c r="G119" i="35"/>
  <c r="K119" i="35"/>
  <c r="O119" i="35"/>
  <c r="S119" i="35"/>
  <c r="F120" i="35"/>
  <c r="J120" i="35"/>
  <c r="N120" i="35"/>
  <c r="R120" i="35"/>
  <c r="V120" i="35"/>
  <c r="I121" i="35"/>
  <c r="M121" i="35"/>
  <c r="Q121" i="35"/>
  <c r="U121" i="35"/>
  <c r="H122" i="35"/>
  <c r="L122" i="35"/>
  <c r="P122" i="35"/>
  <c r="T122" i="35"/>
  <c r="G123" i="35"/>
  <c r="K123" i="35"/>
  <c r="O123" i="35"/>
  <c r="S123" i="35"/>
  <c r="F124" i="35"/>
  <c r="J124" i="35"/>
  <c r="N124" i="35"/>
  <c r="R124" i="35"/>
  <c r="V124" i="35"/>
  <c r="I125" i="35"/>
  <c r="M125" i="35"/>
  <c r="Q125" i="35"/>
  <c r="U125" i="35"/>
  <c r="H126" i="35"/>
  <c r="L126" i="35"/>
  <c r="P126" i="35"/>
  <c r="T126" i="35"/>
  <c r="G127" i="35"/>
  <c r="K127" i="35"/>
  <c r="O127" i="35"/>
  <c r="S127" i="35"/>
  <c r="F128" i="35"/>
  <c r="J128" i="35"/>
  <c r="N128" i="35"/>
  <c r="R128" i="35"/>
  <c r="V128" i="35"/>
  <c r="I129" i="35"/>
  <c r="M129" i="35"/>
  <c r="Q129" i="35"/>
  <c r="U129" i="35"/>
  <c r="H130" i="35"/>
  <c r="L130" i="35"/>
  <c r="P130" i="35"/>
  <c r="T130" i="35"/>
  <c r="G131" i="35"/>
  <c r="K131" i="35"/>
  <c r="O131" i="35"/>
  <c r="S131" i="35"/>
  <c r="F132" i="35"/>
  <c r="J132" i="35"/>
  <c r="N132" i="35"/>
  <c r="R132" i="35"/>
  <c r="V132" i="35"/>
  <c r="E129" i="35"/>
  <c r="I118" i="35"/>
  <c r="M118" i="35"/>
  <c r="Q118" i="35"/>
  <c r="U118" i="35"/>
  <c r="H119" i="35"/>
  <c r="L119" i="35"/>
  <c r="P119" i="35"/>
  <c r="T119" i="35"/>
  <c r="G120" i="35"/>
  <c r="K120" i="35"/>
  <c r="O120" i="35"/>
  <c r="S120" i="35"/>
  <c r="F121" i="35"/>
  <c r="J121" i="35"/>
  <c r="N121" i="35"/>
  <c r="R121" i="35"/>
  <c r="V121" i="35"/>
  <c r="I122" i="35"/>
  <c r="M122" i="35"/>
  <c r="Q122" i="35"/>
  <c r="U122" i="35"/>
  <c r="H123" i="35"/>
  <c r="L123" i="35"/>
  <c r="P123" i="35"/>
  <c r="T123" i="35"/>
  <c r="G124" i="35"/>
  <c r="K124" i="35"/>
  <c r="O124" i="35"/>
  <c r="S124" i="35"/>
  <c r="F125" i="35"/>
  <c r="J125" i="35"/>
  <c r="N125" i="35"/>
  <c r="R125" i="35"/>
  <c r="V125" i="35"/>
  <c r="I126" i="35"/>
  <c r="M126" i="35"/>
  <c r="Q126" i="35"/>
  <c r="U126" i="35"/>
  <c r="H127" i="35"/>
  <c r="L127" i="35"/>
  <c r="P127" i="35"/>
  <c r="T127" i="35"/>
  <c r="G128" i="35"/>
  <c r="K128" i="35"/>
  <c r="O128" i="35"/>
  <c r="S128" i="35"/>
  <c r="F129" i="35"/>
  <c r="J129" i="35"/>
  <c r="N129" i="35"/>
  <c r="R129" i="35"/>
  <c r="V129" i="35"/>
  <c r="I130" i="35"/>
  <c r="M130" i="35"/>
  <c r="Q130" i="35"/>
  <c r="U130" i="35"/>
  <c r="H131" i="35"/>
  <c r="L131" i="35"/>
  <c r="P131" i="35"/>
  <c r="T131" i="35"/>
  <c r="G132" i="35"/>
  <c r="K132" i="35"/>
  <c r="O132" i="35"/>
  <c r="S132" i="35"/>
  <c r="E132" i="35"/>
  <c r="J118" i="35"/>
  <c r="I119" i="35"/>
  <c r="H120" i="35"/>
  <c r="G121" i="35"/>
  <c r="F122" i="35"/>
  <c r="V122" i="35"/>
  <c r="U123" i="35"/>
  <c r="T124" i="35"/>
  <c r="S125" i="35"/>
  <c r="R126" i="35"/>
  <c r="Q127" i="35"/>
  <c r="P128" i="35"/>
  <c r="O129" i="35"/>
  <c r="N130" i="35"/>
  <c r="M131" i="35"/>
  <c r="L132" i="35"/>
  <c r="E130" i="35"/>
  <c r="E125" i="35"/>
  <c r="E121" i="35"/>
  <c r="V102" i="35"/>
  <c r="V106" i="35"/>
  <c r="V110" i="35"/>
  <c r="V114" i="35"/>
  <c r="T102" i="35"/>
  <c r="T104" i="35"/>
  <c r="T106" i="35"/>
  <c r="T108" i="35"/>
  <c r="T110" i="35"/>
  <c r="T112" i="35"/>
  <c r="T114" i="35"/>
  <c r="F101" i="35"/>
  <c r="J101" i="35"/>
  <c r="N101" i="35"/>
  <c r="R101" i="35"/>
  <c r="H102" i="35"/>
  <c r="L102" i="35"/>
  <c r="P102" i="35"/>
  <c r="F103" i="35"/>
  <c r="J103" i="35"/>
  <c r="N103" i="35"/>
  <c r="R103" i="35"/>
  <c r="H104" i="35"/>
  <c r="L104" i="35"/>
  <c r="P104" i="35"/>
  <c r="F105" i="35"/>
  <c r="J105" i="35"/>
  <c r="N105" i="35"/>
  <c r="R105" i="35"/>
  <c r="H106" i="35"/>
  <c r="L106" i="35"/>
  <c r="P106" i="35"/>
  <c r="F107" i="35"/>
  <c r="J107" i="35"/>
  <c r="N107" i="35"/>
  <c r="R107" i="35"/>
  <c r="H108" i="35"/>
  <c r="L108" i="35"/>
  <c r="P108" i="35"/>
  <c r="F109" i="35"/>
  <c r="J109" i="35"/>
  <c r="N109" i="35"/>
  <c r="R109" i="35"/>
  <c r="H110" i="35"/>
  <c r="L110" i="35"/>
  <c r="P110" i="35"/>
  <c r="F111" i="35"/>
  <c r="J111" i="35"/>
  <c r="N111" i="35"/>
  <c r="R111" i="35"/>
  <c r="H112" i="35"/>
  <c r="L112" i="35"/>
  <c r="P112" i="35"/>
  <c r="F113" i="35"/>
  <c r="J113" i="35"/>
  <c r="N113" i="35"/>
  <c r="R113" i="35"/>
  <c r="H114" i="35"/>
  <c r="L114" i="35"/>
  <c r="N118" i="35"/>
  <c r="M119" i="35"/>
  <c r="L120" i="35"/>
  <c r="K121" i="35"/>
  <c r="J122" i="35"/>
  <c r="I123" i="35"/>
  <c r="H124" i="35"/>
  <c r="G125" i="35"/>
  <c r="F126" i="35"/>
  <c r="V126" i="35"/>
  <c r="U127" i="35"/>
  <c r="T128" i="35"/>
  <c r="S129" i="35"/>
  <c r="R130" i="35"/>
  <c r="Q131" i="35"/>
  <c r="P132" i="35"/>
  <c r="E128" i="35"/>
  <c r="E124" i="35"/>
  <c r="E120" i="35"/>
  <c r="V103" i="35"/>
  <c r="V107" i="35"/>
  <c r="V111" i="35"/>
  <c r="V115" i="35"/>
  <c r="U102" i="35"/>
  <c r="U104" i="35"/>
  <c r="U106" i="35"/>
  <c r="U108" i="35"/>
  <c r="U110" i="35"/>
  <c r="U112" i="35"/>
  <c r="U114" i="35"/>
  <c r="G101" i="35"/>
  <c r="K101" i="35"/>
  <c r="O101" i="35"/>
  <c r="S101" i="35"/>
  <c r="I102" i="35"/>
  <c r="M102" i="35"/>
  <c r="Q102" i="35"/>
  <c r="G103" i="35"/>
  <c r="K103" i="35"/>
  <c r="O103" i="35"/>
  <c r="S103" i="35"/>
  <c r="I104" i="35"/>
  <c r="M104" i="35"/>
  <c r="Q104" i="35"/>
  <c r="G105" i="35"/>
  <c r="K105" i="35"/>
  <c r="O105" i="35"/>
  <c r="S105" i="35"/>
  <c r="I106" i="35"/>
  <c r="M106" i="35"/>
  <c r="Q106" i="35"/>
  <c r="G107" i="35"/>
  <c r="K107" i="35"/>
  <c r="O107" i="35"/>
  <c r="S107" i="35"/>
  <c r="I108" i="35"/>
  <c r="M108" i="35"/>
  <c r="Q108" i="35"/>
  <c r="G109" i="35"/>
  <c r="K109" i="35"/>
  <c r="O109" i="35"/>
  <c r="S109" i="35"/>
  <c r="I110" i="35"/>
  <c r="M110" i="35"/>
  <c r="Q110" i="35"/>
  <c r="G111" i="35"/>
  <c r="K111" i="35"/>
  <c r="O111" i="35"/>
  <c r="S111" i="35"/>
  <c r="I112" i="35"/>
  <c r="M112" i="35"/>
  <c r="Q112" i="35"/>
  <c r="G113" i="35"/>
  <c r="K113" i="35"/>
  <c r="O113" i="35"/>
  <c r="S113" i="35"/>
  <c r="I114" i="35"/>
  <c r="M114" i="35"/>
  <c r="Q114" i="35"/>
  <c r="G115" i="35"/>
  <c r="K115" i="35"/>
  <c r="O115" i="35"/>
  <c r="S115" i="35"/>
  <c r="E112" i="35"/>
  <c r="E108" i="35"/>
  <c r="E104" i="35"/>
  <c r="U97" i="35"/>
  <c r="R95" i="35"/>
  <c r="E103" i="35"/>
  <c r="E109" i="35"/>
  <c r="E114" i="35"/>
  <c r="P115" i="35"/>
  <c r="J115" i="35"/>
  <c r="S114" i="35"/>
  <c r="N114" i="35"/>
  <c r="F114" i="35"/>
  <c r="L113" i="35"/>
  <c r="R112" i="35"/>
  <c r="J112" i="35"/>
  <c r="P111" i="35"/>
  <c r="H111" i="35"/>
  <c r="N110" i="35"/>
  <c r="F110" i="35"/>
  <c r="L109" i="35"/>
  <c r="R108" i="35"/>
  <c r="J108" i="35"/>
  <c r="P107" i="35"/>
  <c r="H107" i="35"/>
  <c r="N106" i="35"/>
  <c r="F106" i="35"/>
  <c r="L105" i="35"/>
  <c r="R104" i="35"/>
  <c r="J104" i="35"/>
  <c r="P103" i="35"/>
  <c r="H103" i="35"/>
  <c r="N102" i="35"/>
  <c r="F102" i="35"/>
  <c r="L101" i="35"/>
  <c r="T115" i="35"/>
  <c r="T111" i="35"/>
  <c r="T107" i="35"/>
  <c r="T103" i="35"/>
  <c r="V112" i="35"/>
  <c r="V104" i="35"/>
  <c r="E119" i="35"/>
  <c r="E127" i="35"/>
  <c r="U131" i="35"/>
  <c r="F130" i="35"/>
  <c r="H128" i="35"/>
  <c r="J126" i="35"/>
  <c r="L124" i="35"/>
  <c r="N122" i="35"/>
  <c r="P120" i="35"/>
  <c r="R118" i="35"/>
  <c r="S94" i="35"/>
  <c r="E105" i="35"/>
  <c r="E110" i="35"/>
  <c r="E115" i="35"/>
  <c r="N115" i="35"/>
  <c r="I115" i="35"/>
  <c r="R114" i="35"/>
  <c r="K114" i="35"/>
  <c r="Q113" i="35"/>
  <c r="I113" i="35"/>
  <c r="O112" i="35"/>
  <c r="G112" i="35"/>
  <c r="M111" i="35"/>
  <c r="S110" i="35"/>
  <c r="K110" i="35"/>
  <c r="Q109" i="35"/>
  <c r="I109" i="35"/>
  <c r="O108" i="35"/>
  <c r="G108" i="35"/>
  <c r="M107" i="35"/>
  <c r="S106" i="35"/>
  <c r="K106" i="35"/>
  <c r="Q105" i="35"/>
  <c r="I105" i="35"/>
  <c r="O104" i="35"/>
  <c r="G104" i="35"/>
  <c r="M103" i="35"/>
  <c r="S102" i="35"/>
  <c r="K102" i="35"/>
  <c r="Q101" i="35"/>
  <c r="I101" i="35"/>
  <c r="U113" i="35"/>
  <c r="U109" i="35"/>
  <c r="U105" i="35"/>
  <c r="U101" i="35"/>
  <c r="V109" i="35"/>
  <c r="V101" i="35"/>
  <c r="E122" i="35"/>
  <c r="E131" i="35"/>
  <c r="I131" i="35"/>
  <c r="K129" i="35"/>
  <c r="M127" i="35"/>
  <c r="O125" i="35"/>
  <c r="Q123" i="35"/>
  <c r="S121" i="35"/>
  <c r="U119" i="35"/>
  <c r="F118" i="35"/>
  <c r="L93" i="35"/>
  <c r="N95" i="35"/>
  <c r="O94" i="35"/>
  <c r="E93" i="35"/>
  <c r="H93" i="35"/>
  <c r="J95" i="35"/>
  <c r="K94" i="35"/>
  <c r="T93" i="35"/>
  <c r="V95" i="35"/>
  <c r="F95" i="35"/>
  <c r="G94" i="35"/>
  <c r="F93" i="35"/>
  <c r="S93" i="35"/>
  <c r="O93" i="35"/>
  <c r="K93" i="35"/>
  <c r="G93" i="35"/>
  <c r="U95" i="35"/>
  <c r="Q95" i="35"/>
  <c r="M95" i="35"/>
  <c r="I95" i="35"/>
  <c r="V94" i="35"/>
  <c r="R94" i="35"/>
  <c r="N94" i="35"/>
  <c r="J94" i="35"/>
  <c r="F94" i="35"/>
  <c r="T97" i="35"/>
  <c r="V93" i="35"/>
  <c r="R93" i="35"/>
  <c r="N93" i="35"/>
  <c r="J93" i="35"/>
  <c r="E94" i="35"/>
  <c r="T95" i="35"/>
  <c r="P95" i="35"/>
  <c r="L95" i="35"/>
  <c r="H95" i="35"/>
  <c r="U94" i="35"/>
  <c r="Q94" i="35"/>
  <c r="M94" i="35"/>
  <c r="I94" i="35"/>
  <c r="U93" i="35"/>
  <c r="Q93" i="35"/>
  <c r="M93" i="35"/>
  <c r="I93" i="35"/>
  <c r="E95" i="35"/>
  <c r="S95" i="35"/>
  <c r="O95" i="35"/>
  <c r="K95" i="35"/>
  <c r="G95" i="35"/>
  <c r="T94" i="35"/>
  <c r="P94" i="35"/>
  <c r="L94" i="35"/>
  <c r="H94" i="35"/>
  <c r="V97" i="35"/>
  <c r="T92" i="35"/>
  <c r="T100" i="35" l="1"/>
  <c r="V117" i="35"/>
  <c r="U117" i="35"/>
  <c r="V100" i="35"/>
  <c r="U100" i="35"/>
  <c r="T117" i="35"/>
  <c r="U92" i="35"/>
  <c r="S92" i="35"/>
  <c r="V92" i="35"/>
  <c r="R105" i="17" l="1"/>
  <c r="S105" i="17" s="1"/>
  <c r="C135" i="35" l="1"/>
  <c r="C134" i="35"/>
  <c r="G180" i="37" l="1"/>
  <c r="F180" i="37"/>
  <c r="G179" i="37"/>
  <c r="F179" i="37"/>
  <c r="G178" i="37"/>
  <c r="F178" i="37"/>
  <c r="G177" i="37"/>
  <c r="F177" i="37"/>
  <c r="G176" i="37"/>
  <c r="F176" i="37"/>
  <c r="G175" i="37"/>
  <c r="F175" i="37"/>
  <c r="G174" i="37"/>
  <c r="F174" i="37"/>
  <c r="G173" i="37"/>
  <c r="F173" i="37"/>
  <c r="G172" i="37"/>
  <c r="F172" i="37"/>
  <c r="E180" i="37"/>
  <c r="E179" i="37"/>
  <c r="E178" i="37"/>
  <c r="E177" i="37"/>
  <c r="E176" i="37"/>
  <c r="E175" i="37"/>
  <c r="E174" i="37"/>
  <c r="E173" i="37"/>
  <c r="E172" i="37"/>
  <c r="G186" i="37"/>
  <c r="F186" i="37"/>
  <c r="E186" i="37"/>
  <c r="G185" i="37"/>
  <c r="F185" i="37"/>
  <c r="E185" i="37"/>
  <c r="G184" i="37"/>
  <c r="F184" i="37"/>
  <c r="E184" i="37"/>
  <c r="G183" i="37"/>
  <c r="F183" i="37"/>
  <c r="E183" i="37"/>
  <c r="G182" i="37"/>
  <c r="F182" i="37"/>
  <c r="E182" i="37"/>
  <c r="G181" i="37"/>
  <c r="F181" i="37"/>
  <c r="E181" i="37"/>
  <c r="D186" i="37"/>
  <c r="D185" i="37"/>
  <c r="D184" i="37"/>
  <c r="D183" i="37"/>
  <c r="D182" i="37"/>
  <c r="D181" i="37"/>
  <c r="D153" i="37"/>
  <c r="D150" i="37"/>
  <c r="D149" i="37"/>
  <c r="D148" i="37"/>
  <c r="D147" i="37"/>
  <c r="D146" i="37"/>
  <c r="D145" i="37"/>
  <c r="D144" i="37"/>
  <c r="D143" i="37"/>
  <c r="D142" i="37"/>
  <c r="D141" i="37"/>
  <c r="D140" i="37"/>
  <c r="D139" i="37"/>
  <c r="G101" i="37"/>
  <c r="F101" i="37"/>
  <c r="G100" i="37"/>
  <c r="F100" i="37"/>
  <c r="G99" i="37"/>
  <c r="F99" i="37"/>
  <c r="G98" i="37"/>
  <c r="F98" i="37"/>
  <c r="G97" i="37"/>
  <c r="F97" i="37"/>
  <c r="G96" i="37"/>
  <c r="F96" i="37"/>
  <c r="G95" i="37"/>
  <c r="F95" i="37"/>
  <c r="G94" i="37"/>
  <c r="F94" i="37"/>
  <c r="G93" i="37"/>
  <c r="F93" i="37"/>
  <c r="E101" i="37"/>
  <c r="E100" i="37"/>
  <c r="E99" i="37"/>
  <c r="E98" i="37"/>
  <c r="E97" i="37"/>
  <c r="E96" i="37"/>
  <c r="E95" i="37"/>
  <c r="E94" i="37"/>
  <c r="E93" i="37"/>
  <c r="G107" i="37"/>
  <c r="F107" i="37"/>
  <c r="E107" i="37"/>
  <c r="G106" i="37"/>
  <c r="F106" i="37"/>
  <c r="E106" i="37"/>
  <c r="G105" i="37"/>
  <c r="F105" i="37"/>
  <c r="E105" i="37"/>
  <c r="G104" i="37"/>
  <c r="F104" i="37"/>
  <c r="E104" i="37"/>
  <c r="G103" i="37"/>
  <c r="F103" i="37"/>
  <c r="E103" i="37"/>
  <c r="G102" i="37"/>
  <c r="F102" i="37"/>
  <c r="E102" i="37"/>
  <c r="D107" i="37"/>
  <c r="D106" i="37"/>
  <c r="D105" i="37"/>
  <c r="D104" i="37"/>
  <c r="D103" i="37"/>
  <c r="D102" i="37"/>
  <c r="D71" i="37"/>
  <c r="D68" i="37"/>
  <c r="D67" i="37"/>
  <c r="D66" i="37"/>
  <c r="D65" i="37"/>
  <c r="D64" i="37"/>
  <c r="D74" i="37"/>
  <c r="D73" i="37"/>
  <c r="D72" i="37"/>
  <c r="D63" i="37"/>
  <c r="D62" i="37"/>
  <c r="D61" i="37"/>
  <c r="D60" i="37"/>
  <c r="F43" i="37"/>
  <c r="F21" i="37" l="1"/>
  <c r="E21" i="37"/>
  <c r="D21" i="37"/>
  <c r="D12" i="37"/>
  <c r="H337" i="42" l="1"/>
  <c r="G337" i="42"/>
  <c r="F337" i="42"/>
  <c r="E337" i="42"/>
  <c r="H302" i="42"/>
  <c r="G302" i="42"/>
  <c r="F302" i="42"/>
  <c r="E302" i="42"/>
  <c r="H267" i="42"/>
  <c r="G267" i="42"/>
  <c r="F267" i="42"/>
  <c r="E267" i="42"/>
  <c r="H337" i="40"/>
  <c r="G337" i="40"/>
  <c r="F337" i="40"/>
  <c r="E337" i="40"/>
  <c r="H302" i="40"/>
  <c r="G302" i="40"/>
  <c r="F302" i="40"/>
  <c r="E302" i="40"/>
  <c r="H267" i="40"/>
  <c r="G267" i="40"/>
  <c r="F267" i="40"/>
  <c r="E267" i="40"/>
  <c r="H322" i="42"/>
  <c r="G322" i="42"/>
  <c r="F322" i="42"/>
  <c r="H322" i="40"/>
  <c r="G322" i="40"/>
  <c r="F322" i="40"/>
  <c r="H287" i="42"/>
  <c r="G287" i="42"/>
  <c r="F287" i="42"/>
  <c r="H287" i="40"/>
  <c r="G287" i="40"/>
  <c r="F287" i="40"/>
  <c r="H252" i="40"/>
  <c r="G252" i="40"/>
  <c r="F252" i="40"/>
  <c r="H252" i="42"/>
  <c r="G252" i="42"/>
  <c r="F252" i="42"/>
  <c r="H133" i="34"/>
  <c r="G133" i="34"/>
  <c r="E133" i="34"/>
  <c r="A32" i="28" l="1"/>
  <c r="A45" i="16"/>
  <c r="C63" i="35" l="1"/>
  <c r="E63" i="35" s="1"/>
  <c r="C28" i="35"/>
  <c r="E28" i="35" s="1"/>
  <c r="C80" i="35"/>
  <c r="E80" i="35" s="1"/>
  <c r="C79" i="35"/>
  <c r="E79" i="35" s="1"/>
  <c r="C78" i="35"/>
  <c r="E78" i="35" s="1"/>
  <c r="C77" i="35"/>
  <c r="E77" i="35" s="1"/>
  <c r="C76" i="35"/>
  <c r="E76" i="35" s="1"/>
  <c r="C75" i="35"/>
  <c r="E75" i="35" s="1"/>
  <c r="C74" i="35"/>
  <c r="E74" i="35" s="1"/>
  <c r="C73" i="35"/>
  <c r="E73" i="35" s="1"/>
  <c r="C72" i="35"/>
  <c r="E72" i="35" s="1"/>
  <c r="C71" i="35"/>
  <c r="E71" i="35" s="1"/>
  <c r="C70" i="35"/>
  <c r="E70" i="35" s="1"/>
  <c r="C69" i="35"/>
  <c r="E69" i="35" s="1"/>
  <c r="C68" i="35"/>
  <c r="E68" i="35" s="1"/>
  <c r="C67" i="35"/>
  <c r="E67" i="35" s="1"/>
  <c r="C66" i="35"/>
  <c r="E66" i="35" s="1"/>
  <c r="C49" i="35"/>
  <c r="E49" i="35" s="1"/>
  <c r="C48" i="35"/>
  <c r="E48" i="35" s="1"/>
  <c r="C47" i="35"/>
  <c r="E47" i="35" s="1"/>
  <c r="C46" i="35"/>
  <c r="E46" i="35" s="1"/>
  <c r="C45" i="35"/>
  <c r="E45" i="35" s="1"/>
  <c r="C44" i="35"/>
  <c r="E44" i="35" s="1"/>
  <c r="C43" i="35"/>
  <c r="E43" i="35" s="1"/>
  <c r="C42" i="35"/>
  <c r="E42" i="35" s="1"/>
  <c r="C41" i="35"/>
  <c r="E41" i="35" s="1"/>
  <c r="C40" i="35"/>
  <c r="E40" i="35" s="1"/>
  <c r="C39" i="35"/>
  <c r="E39" i="35" s="1"/>
  <c r="C38" i="35"/>
  <c r="E38" i="35" s="1"/>
  <c r="C37" i="35"/>
  <c r="E37" i="35" s="1"/>
  <c r="C36" i="35"/>
  <c r="E36" i="35" s="1"/>
  <c r="C35" i="35"/>
  <c r="E35" i="35" s="1"/>
  <c r="C33" i="35"/>
  <c r="E33" i="35" s="1"/>
  <c r="C32" i="35"/>
  <c r="E32" i="35" s="1"/>
  <c r="C31" i="35"/>
  <c r="E31" i="35" s="1"/>
  <c r="C64" i="35" l="1"/>
  <c r="E64" i="35" s="1"/>
  <c r="C29" i="35"/>
  <c r="E29" i="35" s="1"/>
  <c r="H22" i="35"/>
  <c r="H70" i="35"/>
  <c r="H67" i="35"/>
  <c r="H65" i="35"/>
  <c r="H60" i="35"/>
  <c r="H56" i="35"/>
  <c r="H52" i="35"/>
  <c r="H30" i="35"/>
  <c r="H28" i="35"/>
  <c r="H25" i="35"/>
  <c r="H18" i="35"/>
  <c r="H14" i="35"/>
  <c r="F97" i="34" l="1"/>
  <c r="G97" i="34"/>
  <c r="H97" i="34"/>
  <c r="B103" i="34"/>
  <c r="B101" i="34" s="1"/>
  <c r="B102" i="34" s="1"/>
  <c r="B104" i="34"/>
  <c r="B106" i="34"/>
  <c r="F117" i="34"/>
  <c r="G117" i="34"/>
  <c r="H117" i="34"/>
  <c r="B122" i="34"/>
  <c r="B121" i="34" s="1"/>
  <c r="B124" i="34" s="1"/>
  <c r="C130" i="34"/>
  <c r="E132" i="34"/>
  <c r="B313" i="42" l="1"/>
  <c r="B278" i="42"/>
  <c r="B243" i="42"/>
  <c r="B228" i="42"/>
  <c r="B213" i="42"/>
  <c r="B198" i="42"/>
  <c r="B180" i="42"/>
  <c r="B162" i="42"/>
  <c r="B144" i="42"/>
  <c r="B124" i="42"/>
  <c r="B104" i="42"/>
  <c r="B84" i="42"/>
  <c r="B65" i="42"/>
  <c r="B46" i="42"/>
  <c r="B27" i="42"/>
  <c r="E345" i="42"/>
  <c r="C334" i="42"/>
  <c r="B328" i="42"/>
  <c r="B327" i="42" s="1"/>
  <c r="B330" i="42" s="1"/>
  <c r="H345" i="42"/>
  <c r="G345" i="42"/>
  <c r="E310" i="42"/>
  <c r="C299" i="42"/>
  <c r="B293" i="42"/>
  <c r="B292" i="42"/>
  <c r="B295" i="42" s="1"/>
  <c r="G275" i="42"/>
  <c r="E275" i="42"/>
  <c r="C264" i="42"/>
  <c r="B258" i="42"/>
  <c r="B257" i="42" s="1"/>
  <c r="B260" i="42" s="1"/>
  <c r="H275" i="42"/>
  <c r="C232" i="42"/>
  <c r="C217" i="42"/>
  <c r="E204" i="42"/>
  <c r="E219" i="42" s="1"/>
  <c r="E234" i="42" s="1"/>
  <c r="E266" i="42" s="1"/>
  <c r="C202" i="42"/>
  <c r="B194" i="42"/>
  <c r="B193" i="42"/>
  <c r="B196" i="42" s="1"/>
  <c r="B176" i="42"/>
  <c r="B175" i="42" s="1"/>
  <c r="B178" i="42" s="1"/>
  <c r="G171" i="42"/>
  <c r="G189" i="42" s="1"/>
  <c r="B158" i="42"/>
  <c r="B157" i="42"/>
  <c r="B160" i="42" s="1"/>
  <c r="H153" i="42"/>
  <c r="H171" i="42" s="1"/>
  <c r="H189" i="42" s="1"/>
  <c r="G153" i="42"/>
  <c r="F153" i="42"/>
  <c r="F171" i="42" s="1"/>
  <c r="F189" i="42" s="1"/>
  <c r="B142" i="42"/>
  <c r="B140" i="42"/>
  <c r="B139" i="42"/>
  <c r="B137" i="42" s="1"/>
  <c r="B138" i="42" s="1"/>
  <c r="B122" i="42"/>
  <c r="B120" i="42"/>
  <c r="B119" i="42"/>
  <c r="B117" i="42"/>
  <c r="B118" i="42" s="1"/>
  <c r="F113" i="42"/>
  <c r="F133" i="42" s="1"/>
  <c r="B102" i="42"/>
  <c r="B100" i="42"/>
  <c r="B99" i="42"/>
  <c r="B97" i="42"/>
  <c r="H93" i="42"/>
  <c r="H113" i="42" s="1"/>
  <c r="H133" i="42" s="1"/>
  <c r="G93" i="42"/>
  <c r="G113" i="42" s="1"/>
  <c r="G133" i="42" s="1"/>
  <c r="F93" i="42"/>
  <c r="B80" i="42"/>
  <c r="B79" i="42"/>
  <c r="B82" i="42" s="1"/>
  <c r="B61" i="42"/>
  <c r="B60" i="42" s="1"/>
  <c r="B63" i="42" s="1"/>
  <c r="B44" i="42"/>
  <c r="B42" i="42"/>
  <c r="B41" i="42"/>
  <c r="H36" i="42"/>
  <c r="H251" i="42" s="1"/>
  <c r="H286" i="42" s="1"/>
  <c r="H321" i="42" s="1"/>
  <c r="G36" i="42"/>
  <c r="G251" i="42" s="1"/>
  <c r="G286" i="42" s="1"/>
  <c r="G321" i="42" s="1"/>
  <c r="F36" i="42"/>
  <c r="F55" i="42" s="1"/>
  <c r="F74" i="42" s="1"/>
  <c r="B25" i="42"/>
  <c r="B24" i="42"/>
  <c r="F20" i="42" s="1"/>
  <c r="B23" i="42"/>
  <c r="B22" i="42"/>
  <c r="C281" i="42" s="1"/>
  <c r="C282" i="42" s="1"/>
  <c r="C285" i="42" s="1"/>
  <c r="H19" i="42"/>
  <c r="H204" i="42" s="1"/>
  <c r="H219" i="42" s="1"/>
  <c r="H234" i="42" s="1"/>
  <c r="H266" i="42" s="1"/>
  <c r="G19" i="42"/>
  <c r="G204" i="42" s="1"/>
  <c r="G219" i="42" s="1"/>
  <c r="G234" i="42" s="1"/>
  <c r="G266" i="42" s="1"/>
  <c r="F19" i="42"/>
  <c r="F204" i="42" s="1"/>
  <c r="F219" i="42" s="1"/>
  <c r="F234" i="42" s="1"/>
  <c r="F266" i="42" s="1"/>
  <c r="D123" i="37"/>
  <c r="D122" i="37"/>
  <c r="D121" i="37"/>
  <c r="H345" i="40"/>
  <c r="G345" i="40"/>
  <c r="E345" i="40"/>
  <c r="C334" i="40"/>
  <c r="B328" i="40"/>
  <c r="B327" i="40" s="1"/>
  <c r="B330" i="40" s="1"/>
  <c r="B313" i="40"/>
  <c r="G310" i="40"/>
  <c r="E310" i="40"/>
  <c r="H310" i="40"/>
  <c r="C299" i="40"/>
  <c r="B293" i="40"/>
  <c r="B292" i="40" s="1"/>
  <c r="B295" i="40" s="1"/>
  <c r="B278" i="40"/>
  <c r="E275" i="40"/>
  <c r="C264" i="40"/>
  <c r="G275" i="40"/>
  <c r="B258" i="40"/>
  <c r="B257" i="40"/>
  <c r="B260" i="40" s="1"/>
  <c r="B243" i="40"/>
  <c r="C232" i="40"/>
  <c r="B228" i="40"/>
  <c r="C217" i="40"/>
  <c r="B213" i="40"/>
  <c r="B198" i="40"/>
  <c r="B194" i="40"/>
  <c r="B193" i="40" s="1"/>
  <c r="B196" i="40" s="1"/>
  <c r="B180" i="40"/>
  <c r="B176" i="40"/>
  <c r="B175" i="40"/>
  <c r="B178" i="40" s="1"/>
  <c r="B162" i="40"/>
  <c r="B144" i="40"/>
  <c r="B142" i="40"/>
  <c r="B140" i="40"/>
  <c r="B139" i="40"/>
  <c r="B137" i="40" s="1"/>
  <c r="B138" i="40" s="1"/>
  <c r="B124" i="40"/>
  <c r="B122" i="40"/>
  <c r="B120" i="40"/>
  <c r="B119" i="40"/>
  <c r="B117" i="40" s="1"/>
  <c r="B104" i="40"/>
  <c r="B84" i="40"/>
  <c r="B80" i="40"/>
  <c r="B79" i="40" s="1"/>
  <c r="B82" i="40" s="1"/>
  <c r="B65" i="40"/>
  <c r="B61" i="40"/>
  <c r="B60" i="40" s="1"/>
  <c r="B63" i="40" s="1"/>
  <c r="B46" i="40"/>
  <c r="B27" i="40"/>
  <c r="G55" i="42" l="1"/>
  <c r="G74" i="42" s="1"/>
  <c r="G310" i="42"/>
  <c r="F201" i="37" s="1"/>
  <c r="B98" i="42"/>
  <c r="H310" i="42"/>
  <c r="G201" i="37" s="1"/>
  <c r="H275" i="40"/>
  <c r="F345" i="42"/>
  <c r="F310" i="42"/>
  <c r="E201" i="37" s="1"/>
  <c r="F275" i="42"/>
  <c r="E274" i="42"/>
  <c r="E301" i="42"/>
  <c r="F274" i="42"/>
  <c r="F301" i="42"/>
  <c r="G274" i="42"/>
  <c r="G301" i="42"/>
  <c r="H301" i="42"/>
  <c r="H274" i="42"/>
  <c r="C165" i="42"/>
  <c r="C166" i="42" s="1"/>
  <c r="C169" i="42" s="1"/>
  <c r="C316" i="42"/>
  <c r="C317" i="42" s="1"/>
  <c r="C320" i="42" s="1"/>
  <c r="C49" i="42"/>
  <c r="C50" i="42" s="1"/>
  <c r="C53" i="42" s="1"/>
  <c r="C127" i="42"/>
  <c r="C128" i="42" s="1"/>
  <c r="C131" i="42" s="1"/>
  <c r="H55" i="42"/>
  <c r="H74" i="42" s="1"/>
  <c r="C68" i="42"/>
  <c r="C69" i="42" s="1"/>
  <c r="C72" i="42" s="1"/>
  <c r="C107" i="42"/>
  <c r="C108" i="42" s="1"/>
  <c r="C111" i="42" s="1"/>
  <c r="C183" i="42"/>
  <c r="C184" i="42" s="1"/>
  <c r="C187" i="42" s="1"/>
  <c r="F251" i="42"/>
  <c r="F286" i="42" s="1"/>
  <c r="F321" i="42" s="1"/>
  <c r="C87" i="42"/>
  <c r="C88" i="42" s="1"/>
  <c r="C91" i="42" s="1"/>
  <c r="C246" i="42"/>
  <c r="C247" i="42" s="1"/>
  <c r="C250" i="42" s="1"/>
  <c r="C30" i="42"/>
  <c r="C31" i="42" s="1"/>
  <c r="C34" i="42" s="1"/>
  <c r="C147" i="42"/>
  <c r="C148" i="42" s="1"/>
  <c r="C151" i="42" s="1"/>
  <c r="B118" i="40"/>
  <c r="E188" i="37"/>
  <c r="F188" i="37"/>
  <c r="G188" i="37"/>
  <c r="E189" i="37"/>
  <c r="F189" i="37"/>
  <c r="G189" i="37"/>
  <c r="E190" i="37"/>
  <c r="F190" i="37"/>
  <c r="G190" i="37"/>
  <c r="E191" i="37"/>
  <c r="F191" i="37"/>
  <c r="G191" i="37"/>
  <c r="E193" i="37"/>
  <c r="F193" i="37"/>
  <c r="G193" i="37"/>
  <c r="E194" i="37"/>
  <c r="F194" i="37"/>
  <c r="G194" i="37"/>
  <c r="E195" i="37"/>
  <c r="F195" i="37"/>
  <c r="G195" i="37"/>
  <c r="E196" i="37"/>
  <c r="F196" i="37"/>
  <c r="G196" i="37"/>
  <c r="E199" i="37"/>
  <c r="F199" i="37"/>
  <c r="G199" i="37"/>
  <c r="E200" i="37"/>
  <c r="F200" i="37"/>
  <c r="G200" i="37"/>
  <c r="E202" i="37"/>
  <c r="F202" i="37"/>
  <c r="G202" i="37"/>
  <c r="D200" i="37"/>
  <c r="D201" i="37"/>
  <c r="D202" i="37"/>
  <c r="D155" i="37"/>
  <c r="D156" i="37"/>
  <c r="D157" i="37"/>
  <c r="D161" i="37"/>
  <c r="D162" i="37"/>
  <c r="D163" i="37"/>
  <c r="D169" i="37"/>
  <c r="E121" i="37"/>
  <c r="F121" i="37"/>
  <c r="G121" i="37"/>
  <c r="E122" i="37"/>
  <c r="F122" i="37"/>
  <c r="G122" i="37"/>
  <c r="E123" i="37"/>
  <c r="F123" i="37"/>
  <c r="G123" i="37"/>
  <c r="E115" i="37"/>
  <c r="F115" i="37"/>
  <c r="G115" i="37"/>
  <c r="E116" i="37"/>
  <c r="F116" i="37"/>
  <c r="G116" i="37"/>
  <c r="E117" i="37"/>
  <c r="F117" i="37"/>
  <c r="G117" i="37"/>
  <c r="E109" i="37"/>
  <c r="F109" i="37"/>
  <c r="G109" i="37"/>
  <c r="E110" i="37"/>
  <c r="F110" i="37"/>
  <c r="G110" i="37"/>
  <c r="E111" i="37"/>
  <c r="F111" i="37"/>
  <c r="G111" i="37"/>
  <c r="D82" i="37"/>
  <c r="D83" i="37"/>
  <c r="D84" i="37"/>
  <c r="D87" i="37"/>
  <c r="D89" i="37"/>
  <c r="D90" i="37"/>
  <c r="D76" i="37"/>
  <c r="D77" i="37"/>
  <c r="D78" i="37"/>
  <c r="B80" i="34"/>
  <c r="B79" i="34"/>
  <c r="B82" i="34" s="1"/>
  <c r="B65" i="34"/>
  <c r="B46" i="34"/>
  <c r="B27" i="34"/>
  <c r="J100" i="35"/>
  <c r="D65" i="35"/>
  <c r="E65" i="35" s="1"/>
  <c r="D34" i="35"/>
  <c r="E34" i="35" s="1"/>
  <c r="R100" i="35" l="1"/>
  <c r="F100" i="35"/>
  <c r="F190" i="42"/>
  <c r="H190" i="42"/>
  <c r="G190" i="42"/>
  <c r="G134" i="42"/>
  <c r="F134" i="42"/>
  <c r="H134" i="42"/>
  <c r="E309" i="42"/>
  <c r="E336" i="42"/>
  <c r="E344" i="42" s="1"/>
  <c r="H94" i="42"/>
  <c r="G94" i="42"/>
  <c r="F94" i="42"/>
  <c r="F114" i="42"/>
  <c r="H114" i="42"/>
  <c r="G114" i="42"/>
  <c r="G56" i="42"/>
  <c r="H56" i="42"/>
  <c r="F56" i="42"/>
  <c r="H154" i="42"/>
  <c r="G154" i="42"/>
  <c r="F154" i="42"/>
  <c r="F75" i="42"/>
  <c r="H75" i="42"/>
  <c r="G75" i="42"/>
  <c r="H309" i="42"/>
  <c r="H336" i="42"/>
  <c r="H344" i="42" s="1"/>
  <c r="F309" i="42"/>
  <c r="F336" i="42"/>
  <c r="F344" i="42" s="1"/>
  <c r="H37" i="42"/>
  <c r="F37" i="42"/>
  <c r="G37" i="42"/>
  <c r="G172" i="42"/>
  <c r="F172" i="42"/>
  <c r="H172" i="42"/>
  <c r="G336" i="42"/>
  <c r="G344" i="42" s="1"/>
  <c r="G309" i="42"/>
  <c r="K100" i="35"/>
  <c r="G100" i="35"/>
  <c r="L100" i="35"/>
  <c r="O100" i="35"/>
  <c r="N100" i="35"/>
  <c r="H100" i="35"/>
  <c r="S100" i="35"/>
  <c r="P100" i="35"/>
  <c r="M100" i="35"/>
  <c r="I100" i="35"/>
  <c r="Q100" i="35"/>
  <c r="B61" i="34"/>
  <c r="B60" i="34"/>
  <c r="B63" i="34" s="1"/>
  <c r="D11" i="37" s="1"/>
  <c r="E204" i="40"/>
  <c r="E219" i="40" s="1"/>
  <c r="E234" i="40" s="1"/>
  <c r="E266" i="40" s="1"/>
  <c r="C202" i="40"/>
  <c r="B158" i="40"/>
  <c r="B157" i="40" s="1"/>
  <c r="B160" i="40" s="1"/>
  <c r="H153" i="40"/>
  <c r="H171" i="40" s="1"/>
  <c r="H189" i="40" s="1"/>
  <c r="G153" i="40"/>
  <c r="G171" i="40" s="1"/>
  <c r="G189" i="40" s="1"/>
  <c r="F153" i="40"/>
  <c r="F171" i="40" s="1"/>
  <c r="F189" i="40" s="1"/>
  <c r="B102" i="40"/>
  <c r="B100" i="40"/>
  <c r="B99" i="40"/>
  <c r="B97" i="40" s="1"/>
  <c r="B98" i="40" s="1"/>
  <c r="H93" i="40"/>
  <c r="H113" i="40" s="1"/>
  <c r="H133" i="40" s="1"/>
  <c r="G93" i="40"/>
  <c r="G113" i="40" s="1"/>
  <c r="G133" i="40" s="1"/>
  <c r="F93" i="40"/>
  <c r="F113" i="40" s="1"/>
  <c r="F133" i="40" s="1"/>
  <c r="B42" i="40"/>
  <c r="B41" i="40" s="1"/>
  <c r="B44" i="40" s="1"/>
  <c r="H36" i="40"/>
  <c r="G36" i="40"/>
  <c r="F36" i="40"/>
  <c r="B25" i="40"/>
  <c r="B22" i="40" s="1"/>
  <c r="B24" i="40"/>
  <c r="B23" i="40"/>
  <c r="H19" i="40"/>
  <c r="H204" i="40" s="1"/>
  <c r="H219" i="40" s="1"/>
  <c r="H234" i="40" s="1"/>
  <c r="H266" i="40" s="1"/>
  <c r="G19" i="40"/>
  <c r="G204" i="40" s="1"/>
  <c r="G219" i="40" s="1"/>
  <c r="G234" i="40" s="1"/>
  <c r="G266" i="40" s="1"/>
  <c r="F19" i="40"/>
  <c r="F204" i="40" s="1"/>
  <c r="F219" i="40" s="1"/>
  <c r="F234" i="40" s="1"/>
  <c r="F266" i="40" s="1"/>
  <c r="G274" i="40" l="1"/>
  <c r="G301" i="40"/>
  <c r="H274" i="40"/>
  <c r="H301" i="40"/>
  <c r="F55" i="40"/>
  <c r="F74" i="40" s="1"/>
  <c r="F251" i="40"/>
  <c r="F286" i="40" s="1"/>
  <c r="F321" i="40" s="1"/>
  <c r="E274" i="40"/>
  <c r="E301" i="40"/>
  <c r="G55" i="40"/>
  <c r="G74" i="40" s="1"/>
  <c r="G251" i="40"/>
  <c r="G286" i="40" s="1"/>
  <c r="G321" i="40" s="1"/>
  <c r="F301" i="40"/>
  <c r="F274" i="40"/>
  <c r="H55" i="40"/>
  <c r="H74" i="40" s="1"/>
  <c r="H251" i="40"/>
  <c r="H286" i="40" s="1"/>
  <c r="H321" i="40" s="1"/>
  <c r="C281" i="40"/>
  <c r="C282" i="40" s="1"/>
  <c r="C285" i="40" s="1"/>
  <c r="C316" i="40"/>
  <c r="C317" i="40" s="1"/>
  <c r="C320" i="40" s="1"/>
  <c r="C246" i="40"/>
  <c r="C247" i="40" s="1"/>
  <c r="C250" i="40" s="1"/>
  <c r="C183" i="40"/>
  <c r="C184" i="40" s="1"/>
  <c r="C187" i="40" s="1"/>
  <c r="C165" i="40"/>
  <c r="C166" i="40" s="1"/>
  <c r="C169" i="40" s="1"/>
  <c r="C107" i="40"/>
  <c r="C108" i="40" s="1"/>
  <c r="C111" i="40" s="1"/>
  <c r="F114" i="40" s="1"/>
  <c r="C127" i="40"/>
  <c r="C128" i="40" s="1"/>
  <c r="C131" i="40" s="1"/>
  <c r="C68" i="40"/>
  <c r="C69" i="40" s="1"/>
  <c r="C72" i="40" s="1"/>
  <c r="C49" i="40"/>
  <c r="C50" i="40" s="1"/>
  <c r="C53" i="40" s="1"/>
  <c r="C87" i="40"/>
  <c r="C88" i="40" s="1"/>
  <c r="C91" i="40" s="1"/>
  <c r="H94" i="40" s="1"/>
  <c r="F20" i="40"/>
  <c r="C147" i="40"/>
  <c r="C148" i="40" s="1"/>
  <c r="C151" i="40" s="1"/>
  <c r="C30" i="40"/>
  <c r="C31" i="40" s="1"/>
  <c r="C34" i="40" s="1"/>
  <c r="G114" i="40" l="1"/>
  <c r="F309" i="40"/>
  <c r="F336" i="40"/>
  <c r="F344" i="40" s="1"/>
  <c r="E309" i="40"/>
  <c r="E336" i="40"/>
  <c r="E344" i="40" s="1"/>
  <c r="G336" i="40"/>
  <c r="G344" i="40" s="1"/>
  <c r="G309" i="40"/>
  <c r="H336" i="40"/>
  <c r="H344" i="40" s="1"/>
  <c r="H309" i="40"/>
  <c r="H114" i="40"/>
  <c r="F94" i="40"/>
  <c r="F345" i="40"/>
  <c r="F310" i="40"/>
  <c r="F275" i="40"/>
  <c r="H172" i="40"/>
  <c r="F172" i="40"/>
  <c r="G172" i="40"/>
  <c r="H190" i="40"/>
  <c r="G190" i="40"/>
  <c r="F190" i="40"/>
  <c r="G94" i="40"/>
  <c r="F134" i="40"/>
  <c r="H134" i="40"/>
  <c r="G134" i="40"/>
  <c r="F75" i="40"/>
  <c r="H75" i="40"/>
  <c r="G75" i="40"/>
  <c r="H56" i="40"/>
  <c r="F56" i="40"/>
  <c r="G56" i="40"/>
  <c r="H37" i="40"/>
  <c r="G37" i="40"/>
  <c r="F37" i="40"/>
  <c r="F154" i="40"/>
  <c r="H154" i="40"/>
  <c r="G154" i="40"/>
  <c r="D87" i="35"/>
  <c r="E44" i="37" l="1"/>
  <c r="F44" i="37"/>
  <c r="D44" i="37"/>
  <c r="E192" i="37" l="1"/>
  <c r="F192" i="37"/>
  <c r="G192" i="37"/>
  <c r="E197" i="37"/>
  <c r="F197" i="37"/>
  <c r="G197" i="37"/>
  <c r="E198" i="37"/>
  <c r="F198" i="37"/>
  <c r="G198" i="37"/>
  <c r="D197" i="37"/>
  <c r="D198" i="37"/>
  <c r="D199" i="37"/>
  <c r="D159" i="37"/>
  <c r="D160" i="37"/>
  <c r="D164" i="37"/>
  <c r="D165" i="37"/>
  <c r="D166" i="37"/>
  <c r="D158" i="37"/>
  <c r="E112" i="37"/>
  <c r="F112" i="37"/>
  <c r="G112" i="37"/>
  <c r="E113" i="37"/>
  <c r="F113" i="37"/>
  <c r="G113" i="37"/>
  <c r="E114" i="37"/>
  <c r="F114" i="37"/>
  <c r="G114" i="37"/>
  <c r="E118" i="37"/>
  <c r="F118" i="37"/>
  <c r="G118" i="37"/>
  <c r="E119" i="37"/>
  <c r="F119" i="37"/>
  <c r="G119" i="37"/>
  <c r="E120" i="37"/>
  <c r="F120" i="37"/>
  <c r="G120" i="37"/>
  <c r="D118" i="37"/>
  <c r="D119" i="37"/>
  <c r="D120" i="37"/>
  <c r="D80" i="37"/>
  <c r="D81" i="37"/>
  <c r="D79" i="37"/>
  <c r="D15" i="37" l="1"/>
  <c r="D16" i="37"/>
  <c r="M117" i="35" l="1"/>
  <c r="P117" i="35"/>
  <c r="L117" i="35"/>
  <c r="H117" i="35"/>
  <c r="I117" i="35"/>
  <c r="S117" i="35"/>
  <c r="O117" i="35"/>
  <c r="K117" i="35"/>
  <c r="G117" i="35"/>
  <c r="Q117" i="35"/>
  <c r="R117" i="35"/>
  <c r="N117" i="35"/>
  <c r="J117" i="35"/>
  <c r="F117" i="35"/>
  <c r="E117" i="35"/>
  <c r="E100" i="35"/>
  <c r="R92" i="35" l="1"/>
  <c r="N92" i="35"/>
  <c r="J92" i="35"/>
  <c r="F92" i="35"/>
  <c r="K92" i="35"/>
  <c r="G92" i="35"/>
  <c r="Q92" i="35"/>
  <c r="M92" i="35"/>
  <c r="E92" i="35"/>
  <c r="P92" i="35"/>
  <c r="L92" i="35"/>
  <c r="H92" i="35"/>
  <c r="I92" i="35"/>
  <c r="O92" i="35"/>
  <c r="D88" i="35"/>
  <c r="M97" i="35" l="1"/>
  <c r="K97" i="35"/>
  <c r="R97" i="35"/>
  <c r="E97" i="35"/>
  <c r="N97" i="35"/>
  <c r="F97" i="35"/>
  <c r="O97" i="35"/>
  <c r="I97" i="35"/>
  <c r="P97" i="35"/>
  <c r="G97" i="35"/>
  <c r="H97" i="35"/>
  <c r="L97" i="35"/>
  <c r="S97" i="35"/>
  <c r="J97" i="35"/>
  <c r="Q97" i="35"/>
  <c r="D30" i="35"/>
  <c r="E30" i="35" s="1"/>
  <c r="U147" i="19" l="1"/>
  <c r="V147" i="19" s="1"/>
  <c r="U133" i="19"/>
  <c r="V133" i="19" s="1"/>
  <c r="A36" i="17" l="1"/>
  <c r="A111" i="17" s="1"/>
  <c r="A328" i="14"/>
  <c r="A327" i="14"/>
  <c r="A326" i="14"/>
  <c r="A325" i="14"/>
  <c r="A324" i="14"/>
  <c r="A323" i="14"/>
  <c r="A322" i="14"/>
  <c r="A320" i="14"/>
  <c r="A319" i="14"/>
  <c r="A318" i="14"/>
  <c r="A317" i="14"/>
  <c r="A316" i="14"/>
  <c r="A315" i="14"/>
  <c r="A321" i="14"/>
  <c r="A313" i="14"/>
  <c r="A312" i="14"/>
  <c r="A311" i="14"/>
  <c r="A310" i="14"/>
  <c r="A309" i="14"/>
  <c r="A308" i="14"/>
  <c r="A307" i="14"/>
  <c r="A305" i="14"/>
  <c r="A304" i="14"/>
  <c r="A303" i="14"/>
  <c r="A302" i="14"/>
  <c r="A301" i="14"/>
  <c r="A300" i="14"/>
  <c r="A306" i="14"/>
  <c r="A221" i="14"/>
  <c r="A149" i="14"/>
  <c r="C90" i="28" l="1"/>
  <c r="D90" i="28" s="1"/>
  <c r="E90" i="28" s="1"/>
  <c r="F90" i="28" s="1"/>
  <c r="G90" i="28" s="1"/>
  <c r="H90" i="28" s="1"/>
  <c r="I90" i="28" s="1"/>
  <c r="J90" i="28" s="1"/>
  <c r="K90" i="28" s="1"/>
  <c r="L90" i="28" s="1"/>
  <c r="M90" i="28" s="1"/>
  <c r="N90" i="28" s="1"/>
  <c r="O90" i="28" s="1"/>
  <c r="P90" i="28" s="1"/>
  <c r="Q90" i="28" s="1"/>
  <c r="C84" i="28"/>
  <c r="D84" i="28" s="1"/>
  <c r="E84" i="28" s="1"/>
  <c r="F84" i="28" s="1"/>
  <c r="G84" i="28" s="1"/>
  <c r="H84" i="28" s="1"/>
  <c r="I84" i="28" s="1"/>
  <c r="J84" i="28" s="1"/>
  <c r="K84" i="28" s="1"/>
  <c r="L84" i="28" s="1"/>
  <c r="M84" i="28" s="1"/>
  <c r="N84" i="28" s="1"/>
  <c r="O84" i="28" s="1"/>
  <c r="P84" i="28" s="1"/>
  <c r="Q84" i="28" s="1"/>
  <c r="D83" i="28"/>
  <c r="E83" i="28" s="1"/>
  <c r="F83" i="28" s="1"/>
  <c r="G83" i="28" s="1"/>
  <c r="H83" i="28" s="1"/>
  <c r="I83" i="28" s="1"/>
  <c r="J83" i="28" s="1"/>
  <c r="K83" i="28" s="1"/>
  <c r="L83" i="28" s="1"/>
  <c r="M83" i="28" s="1"/>
  <c r="N83" i="28" s="1"/>
  <c r="O83" i="28" s="1"/>
  <c r="P83" i="28" s="1"/>
  <c r="Q52" i="16"/>
  <c r="R52" i="16" s="1"/>
  <c r="S52" i="16" s="1"/>
  <c r="T52" i="16" s="1"/>
  <c r="U52" i="16" s="1"/>
  <c r="V52" i="16" s="1"/>
  <c r="W52" i="16" s="1"/>
  <c r="X52" i="16" s="1"/>
  <c r="Y52" i="16" s="1"/>
  <c r="Z52" i="16" s="1"/>
  <c r="AA52" i="16" s="1"/>
  <c r="AB52" i="16" s="1"/>
  <c r="AC52" i="16" s="1"/>
  <c r="AD52" i="16" s="1"/>
  <c r="AE52" i="16" s="1"/>
  <c r="AF52" i="16" s="1"/>
  <c r="AG52" i="16" s="1"/>
  <c r="AH52" i="16" s="1"/>
  <c r="AI52" i="16" s="1"/>
  <c r="AJ52" i="16" s="1"/>
  <c r="AK52" i="16" s="1"/>
  <c r="AL52" i="16" s="1"/>
  <c r="AM52" i="16" s="1"/>
  <c r="AN52" i="16" s="1"/>
  <c r="AO52" i="16" s="1"/>
  <c r="AP52" i="16" s="1"/>
  <c r="AQ52" i="16" s="1"/>
  <c r="AR52" i="16" s="1"/>
  <c r="AS52" i="16" s="1"/>
  <c r="AT52" i="16" s="1"/>
  <c r="AU52" i="16" s="1"/>
  <c r="AV52" i="16" s="1"/>
  <c r="AW52" i="16" s="1"/>
  <c r="AX52" i="16" s="1"/>
  <c r="AY52" i="16" s="1"/>
  <c r="AZ52" i="16" s="1"/>
  <c r="BA52" i="16" s="1"/>
  <c r="BB52" i="16" s="1"/>
  <c r="BC52" i="16" s="1"/>
  <c r="BD52" i="16" s="1"/>
  <c r="BE52" i="16" s="1"/>
  <c r="BF52" i="16" s="1"/>
  <c r="BG52" i="16" s="1"/>
  <c r="BH52" i="16" s="1"/>
  <c r="BI52" i="16" s="1"/>
  <c r="Q148" i="19"/>
  <c r="R148" i="19" s="1"/>
  <c r="S148" i="19" s="1"/>
  <c r="T148" i="19" s="1"/>
  <c r="U148" i="19" s="1"/>
  <c r="V148" i="19" s="1"/>
  <c r="W148" i="19" s="1"/>
  <c r="X148" i="19" s="1"/>
  <c r="Y148" i="19" s="1"/>
  <c r="Z148" i="19" s="1"/>
  <c r="AA148" i="19" s="1"/>
  <c r="AB148" i="19" s="1"/>
  <c r="AC148" i="19" s="1"/>
  <c r="AD148" i="19" s="1"/>
  <c r="AE148" i="19" s="1"/>
  <c r="AF148" i="19" s="1"/>
  <c r="AG148" i="19" s="1"/>
  <c r="AH148" i="19" s="1"/>
  <c r="AI148" i="19" s="1"/>
  <c r="AJ148" i="19" s="1"/>
  <c r="AK148" i="19" s="1"/>
  <c r="AL148" i="19" s="1"/>
  <c r="AM148" i="19" s="1"/>
  <c r="AN148" i="19" s="1"/>
  <c r="AO148" i="19" s="1"/>
  <c r="AP148" i="19" s="1"/>
  <c r="AQ148" i="19" s="1"/>
  <c r="AR148" i="19" s="1"/>
  <c r="AS148" i="19" s="1"/>
  <c r="AT148" i="19" s="1"/>
  <c r="AU148" i="19" s="1"/>
  <c r="AV148" i="19" s="1"/>
  <c r="AW148" i="19" s="1"/>
  <c r="AX148" i="19" s="1"/>
  <c r="AY148" i="19" s="1"/>
  <c r="AZ148" i="19" s="1"/>
  <c r="BA148" i="19" s="1"/>
  <c r="BB148" i="19" s="1"/>
  <c r="BC148" i="19" s="1"/>
  <c r="BD148" i="19" s="1"/>
  <c r="BE148" i="19" s="1"/>
  <c r="BF148" i="19" s="1"/>
  <c r="BG148" i="19" s="1"/>
  <c r="BH148" i="19" s="1"/>
  <c r="BI148" i="19" s="1"/>
  <c r="Q134" i="19"/>
  <c r="R134" i="19" s="1"/>
  <c r="S134" i="19" s="1"/>
  <c r="T134" i="19" s="1"/>
  <c r="U134" i="19" s="1"/>
  <c r="V134" i="19" s="1"/>
  <c r="W134" i="19" s="1"/>
  <c r="X134" i="19" s="1"/>
  <c r="Y134" i="19" s="1"/>
  <c r="Z134" i="19" s="1"/>
  <c r="AA134" i="19" s="1"/>
  <c r="AB134" i="19" s="1"/>
  <c r="AC134" i="19" s="1"/>
  <c r="AD134" i="19" s="1"/>
  <c r="AE134" i="19" s="1"/>
  <c r="AF134" i="19" s="1"/>
  <c r="AG134" i="19" s="1"/>
  <c r="AH134" i="19" s="1"/>
  <c r="AI134" i="19" s="1"/>
  <c r="AJ134" i="19" s="1"/>
  <c r="AK134" i="19" s="1"/>
  <c r="AL134" i="19" s="1"/>
  <c r="AM134" i="19" s="1"/>
  <c r="AN134" i="19" s="1"/>
  <c r="AO134" i="19" s="1"/>
  <c r="AP134" i="19" s="1"/>
  <c r="AQ134" i="19" s="1"/>
  <c r="AR134" i="19" s="1"/>
  <c r="AS134" i="19" s="1"/>
  <c r="AT134" i="19" s="1"/>
  <c r="AU134" i="19" s="1"/>
  <c r="AV134" i="19" s="1"/>
  <c r="AW134" i="19" s="1"/>
  <c r="AX134" i="19" s="1"/>
  <c r="AY134" i="19" s="1"/>
  <c r="AZ134" i="19" s="1"/>
  <c r="BA134" i="19" s="1"/>
  <c r="BB134" i="19" s="1"/>
  <c r="BC134" i="19" s="1"/>
  <c r="BD134" i="19" s="1"/>
  <c r="BE134" i="19" s="1"/>
  <c r="BF134" i="19" s="1"/>
  <c r="BG134" i="19" s="1"/>
  <c r="BH134" i="19" s="1"/>
  <c r="BI134" i="19" s="1"/>
  <c r="Q249" i="17"/>
  <c r="R249" i="17" s="1"/>
  <c r="S249" i="17" s="1"/>
  <c r="T249" i="17" s="1"/>
  <c r="U249" i="17" s="1"/>
  <c r="V249" i="17" s="1"/>
  <c r="W249" i="17" s="1"/>
  <c r="X249" i="17" s="1"/>
  <c r="Y249" i="17" s="1"/>
  <c r="Z249" i="17" s="1"/>
  <c r="AA249" i="17" s="1"/>
  <c r="AB249" i="17" s="1"/>
  <c r="AC249" i="17" s="1"/>
  <c r="AD249" i="17" s="1"/>
  <c r="AE249" i="17" s="1"/>
  <c r="AF249" i="17" s="1"/>
  <c r="AG249" i="17" s="1"/>
  <c r="AH249" i="17" s="1"/>
  <c r="AI249" i="17" s="1"/>
  <c r="AJ249" i="17" s="1"/>
  <c r="AK249" i="17" s="1"/>
  <c r="AL249" i="17" s="1"/>
  <c r="AM249" i="17" s="1"/>
  <c r="AN249" i="17" s="1"/>
  <c r="AO249" i="17" s="1"/>
  <c r="AP249" i="17" s="1"/>
  <c r="AQ249" i="17" s="1"/>
  <c r="AR249" i="17" s="1"/>
  <c r="AS249" i="17" s="1"/>
  <c r="AT249" i="17" s="1"/>
  <c r="AU249" i="17" s="1"/>
  <c r="AV249" i="17" s="1"/>
  <c r="AW249" i="17" s="1"/>
  <c r="AX249" i="17" s="1"/>
  <c r="AY249" i="17" s="1"/>
  <c r="AZ249" i="17" s="1"/>
  <c r="BA249" i="17" s="1"/>
  <c r="BB249" i="17" s="1"/>
  <c r="BC249" i="17" s="1"/>
  <c r="BD249" i="17" s="1"/>
  <c r="BE249" i="17" s="1"/>
  <c r="BF249" i="17" s="1"/>
  <c r="BG249" i="17" s="1"/>
  <c r="BH249" i="17" s="1"/>
  <c r="BI249" i="17" s="1"/>
  <c r="Q236" i="17"/>
  <c r="R236" i="17" s="1"/>
  <c r="S236" i="17" s="1"/>
  <c r="T236" i="17" s="1"/>
  <c r="U236" i="17" s="1"/>
  <c r="V236" i="17" s="1"/>
  <c r="W236" i="17" s="1"/>
  <c r="X236" i="17" s="1"/>
  <c r="Y236" i="17" s="1"/>
  <c r="Z236" i="17" s="1"/>
  <c r="AA236" i="17" s="1"/>
  <c r="AB236" i="17" s="1"/>
  <c r="AC236" i="17" s="1"/>
  <c r="AD236" i="17" s="1"/>
  <c r="AE236" i="17" s="1"/>
  <c r="AF236" i="17" s="1"/>
  <c r="AG236" i="17" s="1"/>
  <c r="AH236" i="17" s="1"/>
  <c r="AI236" i="17" s="1"/>
  <c r="AJ236" i="17" s="1"/>
  <c r="AK236" i="17" s="1"/>
  <c r="AL236" i="17" s="1"/>
  <c r="AM236" i="17" s="1"/>
  <c r="AN236" i="17" s="1"/>
  <c r="AO236" i="17" s="1"/>
  <c r="AP236" i="17" s="1"/>
  <c r="AQ236" i="17" s="1"/>
  <c r="AR236" i="17" s="1"/>
  <c r="AS236" i="17" s="1"/>
  <c r="AT236" i="17" s="1"/>
  <c r="AU236" i="17" s="1"/>
  <c r="AV236" i="17" s="1"/>
  <c r="AW236" i="17" s="1"/>
  <c r="AX236" i="17" s="1"/>
  <c r="AY236" i="17" s="1"/>
  <c r="AZ236" i="17" s="1"/>
  <c r="BA236" i="17" s="1"/>
  <c r="BB236" i="17" s="1"/>
  <c r="BC236" i="17" s="1"/>
  <c r="BD236" i="17" s="1"/>
  <c r="BE236" i="17" s="1"/>
  <c r="BF236" i="17" s="1"/>
  <c r="BG236" i="17" s="1"/>
  <c r="BH236" i="17" s="1"/>
  <c r="BI236" i="17" s="1"/>
  <c r="Q115" i="17"/>
  <c r="R115" i="17" s="1"/>
  <c r="S115" i="17" s="1"/>
  <c r="T115" i="17" s="1"/>
  <c r="U115" i="17" s="1"/>
  <c r="V115" i="17" s="1"/>
  <c r="W115" i="17" s="1"/>
  <c r="X115" i="17" s="1"/>
  <c r="Y115" i="17" s="1"/>
  <c r="Z115" i="17" s="1"/>
  <c r="AA115" i="17" s="1"/>
  <c r="AB115" i="17" s="1"/>
  <c r="AC115" i="17" s="1"/>
  <c r="AD115" i="17" s="1"/>
  <c r="AE115" i="17" s="1"/>
  <c r="AF115" i="17" s="1"/>
  <c r="AG115" i="17" s="1"/>
  <c r="AH115" i="17" s="1"/>
  <c r="AI115" i="17" s="1"/>
  <c r="AJ115" i="17" s="1"/>
  <c r="AK115" i="17" s="1"/>
  <c r="AL115" i="17" s="1"/>
  <c r="AM115" i="17" s="1"/>
  <c r="AN115" i="17" s="1"/>
  <c r="AO115" i="17" s="1"/>
  <c r="AP115" i="17" s="1"/>
  <c r="AQ115" i="17" s="1"/>
  <c r="AR115" i="17" s="1"/>
  <c r="AS115" i="17" s="1"/>
  <c r="AT115" i="17" s="1"/>
  <c r="AU115" i="17" s="1"/>
  <c r="AV115" i="17" s="1"/>
  <c r="AW115" i="17" s="1"/>
  <c r="AX115" i="17" s="1"/>
  <c r="AY115" i="17" s="1"/>
  <c r="AZ115" i="17" s="1"/>
  <c r="BA115" i="17" s="1"/>
  <c r="BB115" i="17" s="1"/>
  <c r="BC115" i="17" s="1"/>
  <c r="BD115" i="17" s="1"/>
  <c r="BE115" i="17" s="1"/>
  <c r="BF115" i="17" s="1"/>
  <c r="BG115" i="17" s="1"/>
  <c r="BH115" i="17" s="1"/>
  <c r="BI115" i="17" s="1"/>
  <c r="Q98" i="17"/>
  <c r="R98" i="17" s="1"/>
  <c r="S98" i="17" s="1"/>
  <c r="T98" i="17" s="1"/>
  <c r="U98" i="17" s="1"/>
  <c r="V98" i="17" s="1"/>
  <c r="W98" i="17" s="1"/>
  <c r="X98" i="17" s="1"/>
  <c r="Y98" i="17" s="1"/>
  <c r="Z98" i="17" s="1"/>
  <c r="AA98" i="17" s="1"/>
  <c r="AB98" i="17" s="1"/>
  <c r="AC98" i="17" s="1"/>
  <c r="AD98" i="17" s="1"/>
  <c r="AE98" i="17" s="1"/>
  <c r="AF98" i="17" s="1"/>
  <c r="AG98" i="17" s="1"/>
  <c r="AH98" i="17" s="1"/>
  <c r="AI98" i="17" s="1"/>
  <c r="AJ98" i="17" s="1"/>
  <c r="AK98" i="17" s="1"/>
  <c r="AL98" i="17" s="1"/>
  <c r="AM98" i="17" s="1"/>
  <c r="AN98" i="17" s="1"/>
  <c r="AO98" i="17" s="1"/>
  <c r="AP98" i="17" s="1"/>
  <c r="AQ98" i="17" s="1"/>
  <c r="AR98" i="17" s="1"/>
  <c r="AS98" i="17" s="1"/>
  <c r="AT98" i="17" s="1"/>
  <c r="AU98" i="17" s="1"/>
  <c r="AV98" i="17" s="1"/>
  <c r="AW98" i="17" s="1"/>
  <c r="AX98" i="17" s="1"/>
  <c r="AY98" i="17" s="1"/>
  <c r="AZ98" i="17" s="1"/>
  <c r="BA98" i="17" s="1"/>
  <c r="BB98" i="17" s="1"/>
  <c r="BC98" i="17" s="1"/>
  <c r="BD98" i="17" s="1"/>
  <c r="BE98" i="17" s="1"/>
  <c r="BF98" i="17" s="1"/>
  <c r="BG98" i="17" s="1"/>
  <c r="BH98" i="17" s="1"/>
  <c r="BI98" i="17" s="1"/>
  <c r="R97" i="17"/>
  <c r="S97" i="17" s="1"/>
  <c r="T97" i="17" s="1"/>
  <c r="Q298" i="14"/>
  <c r="R298" i="14" s="1"/>
  <c r="S298" i="14" s="1"/>
  <c r="T298" i="14" s="1"/>
  <c r="U298" i="14" s="1"/>
  <c r="V298" i="14" s="1"/>
  <c r="W298" i="14" s="1"/>
  <c r="X298" i="14" s="1"/>
  <c r="Y298" i="14" s="1"/>
  <c r="Z298" i="14" s="1"/>
  <c r="AA298" i="14" s="1"/>
  <c r="AB298" i="14" s="1"/>
  <c r="AC298" i="14" s="1"/>
  <c r="AD298" i="14" s="1"/>
  <c r="AE298" i="14" s="1"/>
  <c r="AF298" i="14" s="1"/>
  <c r="AG298" i="14" s="1"/>
  <c r="AH298" i="14" s="1"/>
  <c r="AI298" i="14" s="1"/>
  <c r="AJ298" i="14" s="1"/>
  <c r="AK298" i="14" s="1"/>
  <c r="AL298" i="14" s="1"/>
  <c r="AM298" i="14" s="1"/>
  <c r="AN298" i="14" s="1"/>
  <c r="AO298" i="14" s="1"/>
  <c r="AP298" i="14" s="1"/>
  <c r="AQ298" i="14" s="1"/>
  <c r="AR298" i="14" s="1"/>
  <c r="AS298" i="14" s="1"/>
  <c r="AT298" i="14" s="1"/>
  <c r="AU298" i="14" s="1"/>
  <c r="AV298" i="14" s="1"/>
  <c r="AW298" i="14" s="1"/>
  <c r="AX298" i="14" s="1"/>
  <c r="AY298" i="14" s="1"/>
  <c r="AZ298" i="14" s="1"/>
  <c r="BA298" i="14" s="1"/>
  <c r="BB298" i="14" s="1"/>
  <c r="BC298" i="14" s="1"/>
  <c r="BD298" i="14" s="1"/>
  <c r="BE298" i="14" s="1"/>
  <c r="BF298" i="14" s="1"/>
  <c r="BG298" i="14" s="1"/>
  <c r="BH298" i="14" s="1"/>
  <c r="BI298" i="14" s="1"/>
  <c r="Q285" i="14"/>
  <c r="R285" i="14" s="1"/>
  <c r="S285" i="14" s="1"/>
  <c r="T285" i="14" s="1"/>
  <c r="U285" i="14" s="1"/>
  <c r="V285" i="14" s="1"/>
  <c r="W285" i="14" s="1"/>
  <c r="X285" i="14" s="1"/>
  <c r="Y285" i="14" s="1"/>
  <c r="Z285" i="14" s="1"/>
  <c r="AA285" i="14" s="1"/>
  <c r="AB285" i="14" s="1"/>
  <c r="AC285" i="14" s="1"/>
  <c r="AD285" i="14" s="1"/>
  <c r="AE285" i="14" s="1"/>
  <c r="AF285" i="14" s="1"/>
  <c r="AG285" i="14" s="1"/>
  <c r="AH285" i="14" s="1"/>
  <c r="AI285" i="14" s="1"/>
  <c r="AJ285" i="14" s="1"/>
  <c r="AK285" i="14" s="1"/>
  <c r="AL285" i="14" s="1"/>
  <c r="AM285" i="14" s="1"/>
  <c r="AN285" i="14" s="1"/>
  <c r="AO285" i="14" s="1"/>
  <c r="AP285" i="14" s="1"/>
  <c r="AQ285" i="14" s="1"/>
  <c r="AR285" i="14" s="1"/>
  <c r="AS285" i="14" s="1"/>
  <c r="AT285" i="14" s="1"/>
  <c r="AU285" i="14" s="1"/>
  <c r="AV285" i="14" s="1"/>
  <c r="AW285" i="14" s="1"/>
  <c r="AX285" i="14" s="1"/>
  <c r="AY285" i="14" s="1"/>
  <c r="AZ285" i="14" s="1"/>
  <c r="BA285" i="14" s="1"/>
  <c r="BB285" i="14" s="1"/>
  <c r="BC285" i="14" s="1"/>
  <c r="BD285" i="14" s="1"/>
  <c r="BE285" i="14" s="1"/>
  <c r="BF285" i="14" s="1"/>
  <c r="BG285" i="14" s="1"/>
  <c r="BH285" i="14" s="1"/>
  <c r="BI285" i="14" s="1"/>
  <c r="Q227" i="14"/>
  <c r="R227" i="14" s="1"/>
  <c r="S227" i="14" s="1"/>
  <c r="T227" i="14" s="1"/>
  <c r="U227" i="14" s="1"/>
  <c r="V227" i="14" s="1"/>
  <c r="W227" i="14" s="1"/>
  <c r="X227" i="14" s="1"/>
  <c r="Y227" i="14" s="1"/>
  <c r="Z227" i="14" s="1"/>
  <c r="AA227" i="14" s="1"/>
  <c r="AB227" i="14" s="1"/>
  <c r="AC227" i="14" s="1"/>
  <c r="AD227" i="14" s="1"/>
  <c r="AE227" i="14" s="1"/>
  <c r="AF227" i="14" s="1"/>
  <c r="AG227" i="14" s="1"/>
  <c r="AH227" i="14" s="1"/>
  <c r="AI227" i="14" s="1"/>
  <c r="AJ227" i="14" s="1"/>
  <c r="AK227" i="14" s="1"/>
  <c r="AL227" i="14" s="1"/>
  <c r="AM227" i="14" s="1"/>
  <c r="AN227" i="14" s="1"/>
  <c r="AO227" i="14" s="1"/>
  <c r="AP227" i="14" s="1"/>
  <c r="AQ227" i="14" s="1"/>
  <c r="AR227" i="14" s="1"/>
  <c r="AS227" i="14" s="1"/>
  <c r="AT227" i="14" s="1"/>
  <c r="AU227" i="14" s="1"/>
  <c r="AV227" i="14" s="1"/>
  <c r="AW227" i="14" s="1"/>
  <c r="AX227" i="14" s="1"/>
  <c r="AY227" i="14" s="1"/>
  <c r="AZ227" i="14" s="1"/>
  <c r="BA227" i="14" s="1"/>
  <c r="BB227" i="14" s="1"/>
  <c r="BC227" i="14" s="1"/>
  <c r="BD227" i="14" s="1"/>
  <c r="BE227" i="14" s="1"/>
  <c r="BF227" i="14" s="1"/>
  <c r="BG227" i="14" s="1"/>
  <c r="BH227" i="14" s="1"/>
  <c r="BI227" i="14" s="1"/>
  <c r="D89" i="28" l="1"/>
  <c r="E89" i="28" s="1"/>
  <c r="F89" i="28" s="1"/>
  <c r="G89" i="28" s="1"/>
  <c r="H89" i="28" s="1"/>
  <c r="I89" i="28" s="1"/>
  <c r="J89" i="28" s="1"/>
  <c r="K89" i="28" s="1"/>
  <c r="L89" i="28" s="1"/>
  <c r="M89" i="28" s="1"/>
  <c r="N89" i="28" s="1"/>
  <c r="O89" i="28" s="1"/>
  <c r="P89" i="28" s="1"/>
  <c r="Q89" i="28" s="1"/>
  <c r="Q83" i="28"/>
  <c r="W147" i="19"/>
  <c r="X147" i="19" s="1"/>
  <c r="Y147" i="19" s="1"/>
  <c r="Z147" i="19" s="1"/>
  <c r="AA147" i="19" s="1"/>
  <c r="AB147" i="19" s="1"/>
  <c r="AC147" i="19" s="1"/>
  <c r="AD147" i="19" s="1"/>
  <c r="AE147" i="19" s="1"/>
  <c r="AF147" i="19" s="1"/>
  <c r="AG147" i="19" s="1"/>
  <c r="AH147" i="19" s="1"/>
  <c r="AI147" i="19" s="1"/>
  <c r="AJ147" i="19" s="1"/>
  <c r="AK147" i="19" s="1"/>
  <c r="AL147" i="19" s="1"/>
  <c r="AM147" i="19" s="1"/>
  <c r="AN147" i="19" s="1"/>
  <c r="AO147" i="19" s="1"/>
  <c r="AP147" i="19" s="1"/>
  <c r="AQ147" i="19" s="1"/>
  <c r="AR147" i="19" s="1"/>
  <c r="AS147" i="19" s="1"/>
  <c r="AT147" i="19" s="1"/>
  <c r="AU147" i="19" s="1"/>
  <c r="AV147" i="19" s="1"/>
  <c r="AW147" i="19" s="1"/>
  <c r="AX147" i="19" s="1"/>
  <c r="AY147" i="19" s="1"/>
  <c r="AZ147" i="19" s="1"/>
  <c r="BA147" i="19" s="1"/>
  <c r="BB147" i="19" s="1"/>
  <c r="BC147" i="19" s="1"/>
  <c r="BD147" i="19" s="1"/>
  <c r="BE147" i="19" s="1"/>
  <c r="BF147" i="19" s="1"/>
  <c r="BG147" i="19" s="1"/>
  <c r="BH147" i="19" s="1"/>
  <c r="BI147" i="19" s="1"/>
  <c r="A251" i="17"/>
  <c r="A250" i="17"/>
  <c r="A116" i="17"/>
  <c r="U248" i="17"/>
  <c r="V248" i="17" s="1"/>
  <c r="W248" i="17" s="1"/>
  <c r="X248" i="17" s="1"/>
  <c r="Y248" i="17" s="1"/>
  <c r="Z248" i="17" s="1"/>
  <c r="AA248" i="17" s="1"/>
  <c r="AB248" i="17" s="1"/>
  <c r="AC248" i="17" s="1"/>
  <c r="AD248" i="17" s="1"/>
  <c r="AE248" i="17" s="1"/>
  <c r="AF248" i="17" s="1"/>
  <c r="AG248" i="17" s="1"/>
  <c r="AH248" i="17" s="1"/>
  <c r="AI248" i="17" s="1"/>
  <c r="AJ248" i="17" s="1"/>
  <c r="AK248" i="17" s="1"/>
  <c r="AL248" i="17" s="1"/>
  <c r="AM248" i="17" s="1"/>
  <c r="AN248" i="17" s="1"/>
  <c r="AO248" i="17" s="1"/>
  <c r="AP248" i="17" s="1"/>
  <c r="AQ248" i="17" s="1"/>
  <c r="AR248" i="17" s="1"/>
  <c r="AS248" i="17" s="1"/>
  <c r="AT248" i="17" s="1"/>
  <c r="AU248" i="17" s="1"/>
  <c r="AV248" i="17" s="1"/>
  <c r="AW248" i="17" s="1"/>
  <c r="AX248" i="17" s="1"/>
  <c r="AY248" i="17" s="1"/>
  <c r="AZ248" i="17" s="1"/>
  <c r="BA248" i="17" s="1"/>
  <c r="BB248" i="17" s="1"/>
  <c r="BC248" i="17" s="1"/>
  <c r="BD248" i="17" s="1"/>
  <c r="BE248" i="17" s="1"/>
  <c r="BF248" i="17" s="1"/>
  <c r="BG248" i="17" s="1"/>
  <c r="BH248" i="17" s="1"/>
  <c r="BI248" i="17" s="1"/>
  <c r="A228" i="14" l="1"/>
  <c r="U297" i="14"/>
  <c r="V297" i="14" s="1"/>
  <c r="W297" i="14" s="1"/>
  <c r="X297" i="14" s="1"/>
  <c r="Y297" i="14" s="1"/>
  <c r="Z297" i="14" s="1"/>
  <c r="AA297" i="14" s="1"/>
  <c r="AB297" i="14" s="1"/>
  <c r="AC297" i="14" s="1"/>
  <c r="AD297" i="14" s="1"/>
  <c r="AE297" i="14" s="1"/>
  <c r="AF297" i="14" s="1"/>
  <c r="AG297" i="14" s="1"/>
  <c r="AH297" i="14" s="1"/>
  <c r="AI297" i="14" s="1"/>
  <c r="AJ297" i="14" s="1"/>
  <c r="AK297" i="14" s="1"/>
  <c r="AL297" i="14" s="1"/>
  <c r="AM297" i="14" s="1"/>
  <c r="AN297" i="14" s="1"/>
  <c r="AO297" i="14" s="1"/>
  <c r="AP297" i="14" s="1"/>
  <c r="AQ297" i="14" s="1"/>
  <c r="AR297" i="14" s="1"/>
  <c r="AS297" i="14" s="1"/>
  <c r="AT297" i="14" s="1"/>
  <c r="AU297" i="14" s="1"/>
  <c r="AV297" i="14" s="1"/>
  <c r="AW297" i="14" s="1"/>
  <c r="AX297" i="14" s="1"/>
  <c r="AY297" i="14" s="1"/>
  <c r="AZ297" i="14" s="1"/>
  <c r="BA297" i="14" s="1"/>
  <c r="BB297" i="14" s="1"/>
  <c r="BC297" i="14" s="1"/>
  <c r="BD297" i="14" s="1"/>
  <c r="BE297" i="14" s="1"/>
  <c r="BF297" i="14" s="1"/>
  <c r="BG297" i="14" s="1"/>
  <c r="BH297" i="14" s="1"/>
  <c r="BI297" i="14" s="1"/>
  <c r="A28" i="19" l="1"/>
  <c r="A26" i="19"/>
  <c r="A25" i="19"/>
  <c r="V92" i="17" l="1"/>
  <c r="V214" i="14"/>
  <c r="U65" i="8" l="1"/>
  <c r="V65" i="8"/>
  <c r="U58" i="8"/>
  <c r="V58" i="8"/>
  <c r="V19" i="8" l="1"/>
  <c r="V13" i="8" l="1"/>
  <c r="V16" i="8" s="1"/>
  <c r="V61" i="8" l="1"/>
  <c r="V56" i="8"/>
  <c r="T105" i="17" l="1"/>
  <c r="U105" i="17" s="1"/>
  <c r="V105" i="17" s="1"/>
  <c r="W105" i="17" s="1"/>
  <c r="X105" i="17" s="1"/>
  <c r="Y105" i="17" s="1"/>
  <c r="Z105" i="17" s="1"/>
  <c r="AA105" i="17" s="1"/>
  <c r="AB105" i="17" s="1"/>
  <c r="AC105" i="17" s="1"/>
  <c r="AD105" i="17" s="1"/>
  <c r="AE105" i="17" s="1"/>
  <c r="AF105" i="17" s="1"/>
  <c r="AG105" i="17" s="1"/>
  <c r="AH105" i="17" s="1"/>
  <c r="AI105" i="17" s="1"/>
  <c r="AJ105" i="17" s="1"/>
  <c r="AK105" i="17" s="1"/>
  <c r="AL105" i="17" s="1"/>
  <c r="AM105" i="17" s="1"/>
  <c r="AN105" i="17" s="1"/>
  <c r="AO105" i="17" s="1"/>
  <c r="AP105" i="17" s="1"/>
  <c r="AQ105" i="17" s="1"/>
  <c r="AR105" i="17" s="1"/>
  <c r="AS105" i="17" s="1"/>
  <c r="AT105" i="17" s="1"/>
  <c r="AU105" i="17" s="1"/>
  <c r="AV105" i="17" s="1"/>
  <c r="AW105" i="17" s="1"/>
  <c r="AX105" i="17" s="1"/>
  <c r="AY105" i="17" s="1"/>
  <c r="AZ105" i="17" s="1"/>
  <c r="BA105" i="17" s="1"/>
  <c r="BB105" i="17" s="1"/>
  <c r="BC105" i="17" s="1"/>
  <c r="BD105" i="17" s="1"/>
  <c r="BE105" i="17" s="1"/>
  <c r="BF105" i="17" s="1"/>
  <c r="BG105" i="17" s="1"/>
  <c r="BH105" i="17" s="1"/>
  <c r="BI105" i="17" s="1"/>
  <c r="T206" i="17"/>
  <c r="U206" i="17" s="1"/>
  <c r="V206" i="17" s="1"/>
  <c r="W206" i="17" s="1"/>
  <c r="X206" i="17" s="1"/>
  <c r="Y206" i="17" s="1"/>
  <c r="Z206" i="17" s="1"/>
  <c r="AA206" i="17" s="1"/>
  <c r="AB206" i="17" s="1"/>
  <c r="AC206" i="17" s="1"/>
  <c r="AD206" i="17" s="1"/>
  <c r="AE206" i="17" s="1"/>
  <c r="AF206" i="17" s="1"/>
  <c r="AG206" i="17" s="1"/>
  <c r="AH206" i="17" s="1"/>
  <c r="AI206" i="17" s="1"/>
  <c r="AJ206" i="17" s="1"/>
  <c r="AK206" i="17" s="1"/>
  <c r="AL206" i="17" s="1"/>
  <c r="AM206" i="17" s="1"/>
  <c r="AN206" i="17" s="1"/>
  <c r="AO206" i="17" s="1"/>
  <c r="AP206" i="17" s="1"/>
  <c r="AQ206" i="17" s="1"/>
  <c r="AR206" i="17" s="1"/>
  <c r="AS206" i="17" s="1"/>
  <c r="AT206" i="17" s="1"/>
  <c r="AU206" i="17" s="1"/>
  <c r="AV206" i="17" s="1"/>
  <c r="AW206" i="17" s="1"/>
  <c r="AX206" i="17" s="1"/>
  <c r="AY206" i="17" s="1"/>
  <c r="AZ206" i="17" s="1"/>
  <c r="BA206" i="17" s="1"/>
  <c r="BB206" i="17" s="1"/>
  <c r="BC206" i="17" s="1"/>
  <c r="BD206" i="17" s="1"/>
  <c r="BE206" i="17" s="1"/>
  <c r="BF206" i="17" s="1"/>
  <c r="BG206" i="17" s="1"/>
  <c r="BH206" i="17" s="1"/>
  <c r="BI206" i="17" s="1"/>
  <c r="H19" i="34" l="1"/>
  <c r="H132" i="34" s="1"/>
  <c r="G19" i="34"/>
  <c r="G132" i="34" s="1"/>
  <c r="F19" i="34"/>
  <c r="F132" i="34" s="1"/>
  <c r="T214" i="17"/>
  <c r="U214" i="17" s="1"/>
  <c r="V214" i="17" s="1"/>
  <c r="W214" i="17" s="1"/>
  <c r="X214" i="17" s="1"/>
  <c r="Y214" i="17" s="1"/>
  <c r="Z214" i="17" s="1"/>
  <c r="AA214" i="17" s="1"/>
  <c r="AB214" i="17" s="1"/>
  <c r="AC214" i="17" s="1"/>
  <c r="AD214" i="17" s="1"/>
  <c r="AE214" i="17" s="1"/>
  <c r="AF214" i="17" s="1"/>
  <c r="AG214" i="17" s="1"/>
  <c r="AH214" i="17" s="1"/>
  <c r="AI214" i="17" s="1"/>
  <c r="AJ214" i="17" s="1"/>
  <c r="AK214" i="17" s="1"/>
  <c r="AL214" i="17" s="1"/>
  <c r="AM214" i="17" s="1"/>
  <c r="AN214" i="17" s="1"/>
  <c r="AO214" i="17" s="1"/>
  <c r="AP214" i="17" s="1"/>
  <c r="AQ214" i="17" s="1"/>
  <c r="AR214" i="17" s="1"/>
  <c r="AS214" i="17" s="1"/>
  <c r="AT214" i="17" s="1"/>
  <c r="AU214" i="17" s="1"/>
  <c r="AV214" i="17" s="1"/>
  <c r="AW214" i="17" s="1"/>
  <c r="AX214" i="17" s="1"/>
  <c r="AY214" i="17" s="1"/>
  <c r="AZ214" i="17" s="1"/>
  <c r="BA214" i="17" s="1"/>
  <c r="BB214" i="17" s="1"/>
  <c r="BC214" i="17" s="1"/>
  <c r="BD214" i="17" s="1"/>
  <c r="BE214" i="17" s="1"/>
  <c r="BF214" i="17" s="1"/>
  <c r="BG214" i="17" s="1"/>
  <c r="BH214" i="17" s="1"/>
  <c r="BI214" i="17" s="1"/>
  <c r="S178" i="17" l="1"/>
  <c r="T177" i="17"/>
  <c r="U177" i="17" s="1"/>
  <c r="V177" i="17" s="1"/>
  <c r="W177" i="17" s="1"/>
  <c r="X177" i="17" s="1"/>
  <c r="Y177" i="17" s="1"/>
  <c r="Z177" i="17" s="1"/>
  <c r="AA177" i="17" s="1"/>
  <c r="AB177" i="17" s="1"/>
  <c r="AC177" i="17" s="1"/>
  <c r="AD177" i="17" s="1"/>
  <c r="AE177" i="17" s="1"/>
  <c r="AF177" i="17" s="1"/>
  <c r="AG177" i="17" s="1"/>
  <c r="AH177" i="17" s="1"/>
  <c r="AI177" i="17" s="1"/>
  <c r="AJ177" i="17" s="1"/>
  <c r="AK177" i="17" s="1"/>
  <c r="AL177" i="17" s="1"/>
  <c r="AM177" i="17" s="1"/>
  <c r="AN177" i="17" s="1"/>
  <c r="AO177" i="17" s="1"/>
  <c r="AP177" i="17" s="1"/>
  <c r="AQ177" i="17" s="1"/>
  <c r="AR177" i="17" s="1"/>
  <c r="AS177" i="17" s="1"/>
  <c r="AT177" i="17" s="1"/>
  <c r="AU177" i="17" s="1"/>
  <c r="AV177" i="17" s="1"/>
  <c r="AW177" i="17" s="1"/>
  <c r="AX177" i="17" s="1"/>
  <c r="AY177" i="17" s="1"/>
  <c r="AZ177" i="17" s="1"/>
  <c r="BA177" i="17" s="1"/>
  <c r="BB177" i="17" s="1"/>
  <c r="BC177" i="17" s="1"/>
  <c r="BD177" i="17" s="1"/>
  <c r="BE177" i="17" s="1"/>
  <c r="BF177" i="17" s="1"/>
  <c r="BG177" i="17" s="1"/>
  <c r="BH177" i="17" s="1"/>
  <c r="BI177" i="17" s="1"/>
  <c r="S180" i="17" l="1"/>
  <c r="S208" i="17" s="1"/>
  <c r="Q159" i="17"/>
  <c r="R152" i="17"/>
  <c r="T167" i="17"/>
  <c r="S167" i="17"/>
  <c r="R167" i="17"/>
  <c r="Q167" i="17"/>
  <c r="P167" i="17"/>
  <c r="Q152" i="17"/>
  <c r="P152" i="17"/>
  <c r="Q158" i="17" l="1"/>
  <c r="Q157" i="17" s="1"/>
  <c r="T172" i="17"/>
  <c r="Q172" i="17"/>
  <c r="P172" i="17"/>
  <c r="R172" i="17"/>
  <c r="S172" i="17"/>
  <c r="R173" i="17" l="1"/>
  <c r="R174" i="17" s="1"/>
  <c r="AD178" i="17" s="1"/>
  <c r="AD180" i="17" s="1"/>
  <c r="AD208" i="17" s="1"/>
  <c r="P173" i="17"/>
  <c r="P174" i="17" s="1"/>
  <c r="T178" i="17" s="1"/>
  <c r="Q173" i="17"/>
  <c r="Q174" i="17" s="1"/>
  <c r="Y178" i="17" s="1"/>
  <c r="S173" i="17"/>
  <c r="S174" i="17" s="1"/>
  <c r="AI178" i="17" s="1"/>
  <c r="T173" i="17"/>
  <c r="T174" i="17" s="1"/>
  <c r="AN178" i="17" s="1"/>
  <c r="T179" i="17" l="1"/>
  <c r="T207" i="17" s="1"/>
  <c r="AE178" i="17"/>
  <c r="Y180" i="17"/>
  <c r="Y208" i="17" s="1"/>
  <c r="AN180" i="17"/>
  <c r="AN208" i="17" s="1"/>
  <c r="U178" i="17"/>
  <c r="Z178" i="17"/>
  <c r="T180" i="17"/>
  <c r="T208" i="17" s="1"/>
  <c r="AI180" i="17"/>
  <c r="AI208" i="17" s="1"/>
  <c r="AJ178" i="17"/>
  <c r="AO178" i="17"/>
  <c r="AJ179" i="17" l="1"/>
  <c r="AJ207" i="17" s="1"/>
  <c r="U179" i="17"/>
  <c r="U207" i="17" s="1"/>
  <c r="AO180" i="17"/>
  <c r="AO208" i="17" s="1"/>
  <c r="AO179" i="17"/>
  <c r="AO207" i="17" s="1"/>
  <c r="Z180" i="17"/>
  <c r="Z208" i="17" s="1"/>
  <c r="Z179" i="17"/>
  <c r="Z207" i="17" s="1"/>
  <c r="AE180" i="17"/>
  <c r="AE208" i="17" s="1"/>
  <c r="AE179" i="17"/>
  <c r="AE207" i="17" s="1"/>
  <c r="AF178" i="17"/>
  <c r="AA178" i="17"/>
  <c r="U180" i="17"/>
  <c r="U208" i="17" s="1"/>
  <c r="AJ180" i="17"/>
  <c r="AJ208" i="17" s="1"/>
  <c r="V178" i="17"/>
  <c r="AP178" i="17"/>
  <c r="AK178" i="17"/>
  <c r="AF180" i="17" l="1"/>
  <c r="AF208" i="17" s="1"/>
  <c r="AP179" i="17"/>
  <c r="AP207" i="17" s="1"/>
  <c r="AG178" i="17"/>
  <c r="AF179" i="17"/>
  <c r="AF207" i="17" s="1"/>
  <c r="AK180" i="17"/>
  <c r="AK208" i="17" s="1"/>
  <c r="AK179" i="17"/>
  <c r="AK207" i="17" s="1"/>
  <c r="W178" i="17"/>
  <c r="V179" i="17"/>
  <c r="V207" i="17" s="1"/>
  <c r="AA179" i="17"/>
  <c r="AA207" i="17" s="1"/>
  <c r="AB178" i="17"/>
  <c r="AA180" i="17"/>
  <c r="AA208" i="17" s="1"/>
  <c r="AL178" i="17"/>
  <c r="AP180" i="17"/>
  <c r="AP208" i="17" s="1"/>
  <c r="AQ178" i="17"/>
  <c r="V180" i="17"/>
  <c r="V208" i="17" l="1"/>
  <c r="D20" i="34"/>
  <c r="D20" i="42"/>
  <c r="D20" i="40"/>
  <c r="W179" i="17"/>
  <c r="W207" i="17" s="1"/>
  <c r="AQ179" i="17"/>
  <c r="AQ207" i="17" s="1"/>
  <c r="X178" i="17"/>
  <c r="W180" i="17"/>
  <c r="W208" i="17" s="1"/>
  <c r="AG179" i="17"/>
  <c r="AG207" i="17" s="1"/>
  <c r="AG180" i="17"/>
  <c r="AG208" i="17" s="1"/>
  <c r="AH178" i="17"/>
  <c r="AL179" i="17"/>
  <c r="AL207" i="17" s="1"/>
  <c r="AC178" i="17"/>
  <c r="AB179" i="17"/>
  <c r="AB207" i="17" s="1"/>
  <c r="AB180" i="17"/>
  <c r="AB208" i="17" s="1"/>
  <c r="AM178" i="17"/>
  <c r="AL180" i="17"/>
  <c r="AL208" i="17" s="1"/>
  <c r="AQ180" i="17"/>
  <c r="AQ208" i="17" s="1"/>
  <c r="AR178" i="17"/>
  <c r="B42" i="34"/>
  <c r="B41" i="34" s="1"/>
  <c r="B339" i="40" l="1"/>
  <c r="B222" i="40"/>
  <c r="B304" i="40"/>
  <c r="B305" i="40" s="1"/>
  <c r="B311" i="40" s="1"/>
  <c r="B207" i="40"/>
  <c r="B208" i="40" s="1"/>
  <c r="B237" i="40"/>
  <c r="B269" i="40"/>
  <c r="B270" i="40" s="1"/>
  <c r="B276" i="40" s="1"/>
  <c r="D88" i="37" s="1"/>
  <c r="B269" i="42"/>
  <c r="B304" i="42"/>
  <c r="B305" i="42" s="1"/>
  <c r="B311" i="42" s="1"/>
  <c r="B237" i="42"/>
  <c r="B339" i="42"/>
  <c r="B222" i="42"/>
  <c r="B223" i="42" s="1"/>
  <c r="B207" i="42"/>
  <c r="B208" i="42" s="1"/>
  <c r="B135" i="34"/>
  <c r="B136" i="34" s="1"/>
  <c r="B238" i="40"/>
  <c r="B340" i="40"/>
  <c r="B346" i="40" s="1"/>
  <c r="B223" i="40"/>
  <c r="B270" i="42"/>
  <c r="B276" i="42" s="1"/>
  <c r="B238" i="42"/>
  <c r="B340" i="42"/>
  <c r="B346" i="42" s="1"/>
  <c r="X180" i="17"/>
  <c r="X208" i="17" s="1"/>
  <c r="Y179" i="17"/>
  <c r="Y207" i="17" s="1"/>
  <c r="X179" i="17"/>
  <c r="X207" i="17" s="1"/>
  <c r="AH180" i="17"/>
  <c r="AH208" i="17" s="1"/>
  <c r="AH179" i="17"/>
  <c r="AH207" i="17" s="1"/>
  <c r="AI179" i="17"/>
  <c r="AI207" i="17" s="1"/>
  <c r="AC180" i="17"/>
  <c r="AC208" i="17" s="1"/>
  <c r="AC179" i="17"/>
  <c r="AC207" i="17" s="1"/>
  <c r="AD179" i="17"/>
  <c r="AD207" i="17" s="1"/>
  <c r="AS178" i="17"/>
  <c r="AR179" i="17"/>
  <c r="AR207" i="17" s="1"/>
  <c r="AM180" i="17"/>
  <c r="AM208" i="17" s="1"/>
  <c r="AM179" i="17"/>
  <c r="AM207" i="17" s="1"/>
  <c r="AN179" i="17"/>
  <c r="AN207" i="17" s="1"/>
  <c r="AR180" i="17"/>
  <c r="AR208" i="17" s="1"/>
  <c r="B44" i="34"/>
  <c r="D10" i="37" l="1"/>
  <c r="D14" i="37" s="1"/>
  <c r="D69" i="37"/>
  <c r="D85" i="37" s="1"/>
  <c r="D151" i="37"/>
  <c r="D167" i="37" s="1"/>
  <c r="D152" i="37"/>
  <c r="D168" i="37" s="1"/>
  <c r="D70" i="37"/>
  <c r="D86" i="37" s="1"/>
  <c r="AS179" i="17"/>
  <c r="AS207" i="17" s="1"/>
  <c r="AT178" i="17"/>
  <c r="AS180" i="17"/>
  <c r="AS208" i="17" s="1"/>
  <c r="B23" i="34"/>
  <c r="B25" i="34"/>
  <c r="B24" i="34"/>
  <c r="H36" i="34"/>
  <c r="H54" i="34" s="1"/>
  <c r="H73" i="34" s="1"/>
  <c r="G36" i="34"/>
  <c r="G54" i="34" s="1"/>
  <c r="G73" i="34" s="1"/>
  <c r="F36" i="34"/>
  <c r="F54" i="34" s="1"/>
  <c r="F73" i="34" s="1"/>
  <c r="T131" i="37" l="1"/>
  <c r="T132" i="37" s="1"/>
  <c r="V131" i="37"/>
  <c r="V132" i="37" s="1"/>
  <c r="U131" i="37"/>
  <c r="U132" i="37" s="1"/>
  <c r="V210" i="37"/>
  <c r="V211" i="37" s="1"/>
  <c r="U210" i="37"/>
  <c r="U211" i="37" s="1"/>
  <c r="T210" i="37"/>
  <c r="T211" i="37" s="1"/>
  <c r="V32" i="37"/>
  <c r="V33" i="37" s="1"/>
  <c r="U32" i="37"/>
  <c r="U33" i="37" s="1"/>
  <c r="T32" i="37"/>
  <c r="T33" i="37" s="1"/>
  <c r="H32" i="37"/>
  <c r="F32" i="37"/>
  <c r="R32" i="37"/>
  <c r="L32" i="37"/>
  <c r="M32" i="37"/>
  <c r="O32" i="37"/>
  <c r="G32" i="37"/>
  <c r="J32" i="37"/>
  <c r="K32" i="37"/>
  <c r="E32" i="37"/>
  <c r="Q32" i="37"/>
  <c r="N32" i="37"/>
  <c r="S32" i="37"/>
  <c r="I32" i="37"/>
  <c r="P32" i="37"/>
  <c r="Q210" i="37"/>
  <c r="P210" i="37"/>
  <c r="N210" i="37"/>
  <c r="G210" i="37"/>
  <c r="I210" i="37"/>
  <c r="O210" i="37"/>
  <c r="J210" i="37"/>
  <c r="K210" i="37"/>
  <c r="M210" i="37"/>
  <c r="L210" i="37"/>
  <c r="S210" i="37"/>
  <c r="F210" i="37"/>
  <c r="H210" i="37"/>
  <c r="R210" i="37"/>
  <c r="E210" i="37"/>
  <c r="Q131" i="37"/>
  <c r="M131" i="37"/>
  <c r="I131" i="37"/>
  <c r="R131" i="37"/>
  <c r="F131" i="37"/>
  <c r="P131" i="37"/>
  <c r="L131" i="37"/>
  <c r="H131" i="37"/>
  <c r="E131" i="37"/>
  <c r="J131" i="37"/>
  <c r="S131" i="37"/>
  <c r="O131" i="37"/>
  <c r="K131" i="37"/>
  <c r="G131" i="37"/>
  <c r="N131" i="37"/>
  <c r="AT179" i="17"/>
  <c r="AT207" i="17" s="1"/>
  <c r="AU178" i="17"/>
  <c r="AT180" i="17"/>
  <c r="AT208" i="17" s="1"/>
  <c r="B22" i="34"/>
  <c r="F20" i="34"/>
  <c r="F133" i="34" s="1"/>
  <c r="P126" i="19"/>
  <c r="P125" i="19"/>
  <c r="S208" i="14"/>
  <c r="S259" i="14" s="1"/>
  <c r="S228" i="17"/>
  <c r="S227" i="17"/>
  <c r="C32" i="37" l="1"/>
  <c r="C131" i="37"/>
  <c r="C210" i="37"/>
  <c r="C91" i="34"/>
  <c r="C92" i="34" s="1"/>
  <c r="C95" i="34" s="1"/>
  <c r="C111" i="34"/>
  <c r="C112" i="34" s="1"/>
  <c r="C115" i="34" s="1"/>
  <c r="C68" i="34"/>
  <c r="C69" i="34" s="1"/>
  <c r="C72" i="34" s="1"/>
  <c r="C49" i="34"/>
  <c r="C50" i="34" s="1"/>
  <c r="C53" i="34" s="1"/>
  <c r="C30" i="34"/>
  <c r="C31" i="34" s="1"/>
  <c r="C34" i="34" s="1"/>
  <c r="H37" i="34" s="1"/>
  <c r="AV178" i="17"/>
  <c r="AW178" i="17" s="1"/>
  <c r="AU180" i="17"/>
  <c r="AU208" i="17" s="1"/>
  <c r="AU179" i="17"/>
  <c r="AU207" i="17" s="1"/>
  <c r="F37" i="34" l="1"/>
  <c r="F19" i="37"/>
  <c r="F23" i="37" s="1"/>
  <c r="F118" i="34"/>
  <c r="G118" i="34"/>
  <c r="H118" i="34"/>
  <c r="H98" i="34"/>
  <c r="F98" i="34"/>
  <c r="G98" i="34"/>
  <c r="G37" i="34"/>
  <c r="G55" i="34"/>
  <c r="H55" i="34"/>
  <c r="F55" i="34"/>
  <c r="G74" i="34"/>
  <c r="E25" i="37" s="1"/>
  <c r="H74" i="34"/>
  <c r="F25" i="37" s="1"/>
  <c r="F74" i="34"/>
  <c r="D25" i="37" s="1"/>
  <c r="AV180" i="17"/>
  <c r="AV208" i="17" s="1"/>
  <c r="AW179" i="17"/>
  <c r="AW207" i="17" s="1"/>
  <c r="AV179" i="17"/>
  <c r="AV207" i="17" s="1"/>
  <c r="AX178" i="17"/>
  <c r="AW180" i="17"/>
  <c r="AW208" i="17" s="1"/>
  <c r="AD172" i="14"/>
  <c r="D19" i="37" l="1"/>
  <c r="D23" i="37" s="1"/>
  <c r="F20" i="37"/>
  <c r="F24" i="37" s="1"/>
  <c r="E19" i="37"/>
  <c r="E23" i="37" s="1"/>
  <c r="D20" i="37"/>
  <c r="D24" i="37" s="1"/>
  <c r="E20" i="37"/>
  <c r="E24" i="37" s="1"/>
  <c r="AX179" i="17"/>
  <c r="AX207" i="17" s="1"/>
  <c r="AY178" i="17"/>
  <c r="AY180" i="17" s="1"/>
  <c r="AY208" i="17" s="1"/>
  <c r="AX180" i="17"/>
  <c r="AX208" i="17" s="1"/>
  <c r="AZ178" i="17" l="1"/>
  <c r="AZ179" i="17" s="1"/>
  <c r="AZ207" i="17" s="1"/>
  <c r="AY179" i="17"/>
  <c r="AY207" i="17" s="1"/>
  <c r="U92" i="17"/>
  <c r="U214" i="14"/>
  <c r="BA178" i="17" l="1"/>
  <c r="BA179" i="17" s="1"/>
  <c r="BA207" i="17" s="1"/>
  <c r="AZ180" i="17"/>
  <c r="AZ208" i="17" s="1"/>
  <c r="BB178" i="17" l="1"/>
  <c r="BB179" i="17" s="1"/>
  <c r="BB207" i="17" s="1"/>
  <c r="BA180" i="17"/>
  <c r="BA208" i="17" s="1"/>
  <c r="T65" i="8"/>
  <c r="S65" i="8"/>
  <c r="R65" i="8"/>
  <c r="Q65" i="8"/>
  <c r="P65" i="8"/>
  <c r="O65" i="8"/>
  <c r="BC178" i="17" l="1"/>
  <c r="BC179" i="17" s="1"/>
  <c r="BC207" i="17" s="1"/>
  <c r="BB180" i="17"/>
  <c r="BB208" i="17" s="1"/>
  <c r="BD178" i="17"/>
  <c r="BC180" i="17" l="1"/>
  <c r="BC208" i="17" s="1"/>
  <c r="BD179" i="17"/>
  <c r="BD207" i="17" s="1"/>
  <c r="BD180" i="17"/>
  <c r="BD208" i="17" s="1"/>
  <c r="BE178" i="17"/>
  <c r="R123" i="19"/>
  <c r="Q123" i="19"/>
  <c r="A202" i="14"/>
  <c r="S251" i="14" s="1"/>
  <c r="A200" i="14"/>
  <c r="R124" i="19"/>
  <c r="Q124" i="19"/>
  <c r="BE179" i="17" l="1"/>
  <c r="BE207" i="17" s="1"/>
  <c r="BE180" i="17"/>
  <c r="BE208" i="17" s="1"/>
  <c r="BF178" i="17"/>
  <c r="BF179" i="17" l="1"/>
  <c r="BF207" i="17" s="1"/>
  <c r="BF180" i="17"/>
  <c r="BF208" i="17" s="1"/>
  <c r="BG178" i="17"/>
  <c r="W251" i="14"/>
  <c r="BG179" i="17" l="1"/>
  <c r="BG207" i="17" s="1"/>
  <c r="BG180" i="17"/>
  <c r="BG208" i="17" s="1"/>
  <c r="BH178" i="17"/>
  <c r="BH179" i="17" l="1"/>
  <c r="BH207" i="17" s="1"/>
  <c r="BH180" i="17"/>
  <c r="BH208" i="17" s="1"/>
  <c r="BI178" i="17"/>
  <c r="BI180" i="17" l="1"/>
  <c r="BI208" i="17" s="1"/>
  <c r="BI179" i="17"/>
  <c r="BI207" i="17" s="1"/>
  <c r="U13" i="8" l="1"/>
  <c r="U16" i="8" s="1"/>
  <c r="U61" i="8" l="1"/>
  <c r="U56" i="8"/>
  <c r="U51" i="16" l="1"/>
  <c r="V51" i="16" s="1"/>
  <c r="W51" i="16" s="1"/>
  <c r="X51" i="16" s="1"/>
  <c r="Y51" i="16" s="1"/>
  <c r="Z51" i="16" s="1"/>
  <c r="AA51" i="16" s="1"/>
  <c r="AB51" i="16" s="1"/>
  <c r="AC51" i="16" s="1"/>
  <c r="AD51" i="16" s="1"/>
  <c r="AE51" i="16" s="1"/>
  <c r="AF51" i="16" s="1"/>
  <c r="AG51" i="16" s="1"/>
  <c r="AH51" i="16" s="1"/>
  <c r="AI51" i="16" s="1"/>
  <c r="AJ51" i="16" s="1"/>
  <c r="AK51" i="16" s="1"/>
  <c r="AL51" i="16" s="1"/>
  <c r="AM51" i="16" s="1"/>
  <c r="AN51" i="16" s="1"/>
  <c r="AO51" i="16" s="1"/>
  <c r="AP51" i="16" s="1"/>
  <c r="AQ51" i="16" s="1"/>
  <c r="AR51" i="16" s="1"/>
  <c r="AS51" i="16" s="1"/>
  <c r="AT51" i="16" s="1"/>
  <c r="AU51" i="16" s="1"/>
  <c r="AV51" i="16" s="1"/>
  <c r="AW51" i="16" s="1"/>
  <c r="AX51" i="16" s="1"/>
  <c r="AY51" i="16" s="1"/>
  <c r="AZ51" i="16" s="1"/>
  <c r="BA51" i="16" s="1"/>
  <c r="BB51" i="16" s="1"/>
  <c r="BC51" i="16" s="1"/>
  <c r="BD51" i="16" s="1"/>
  <c r="BE51" i="16" s="1"/>
  <c r="BF51" i="16" s="1"/>
  <c r="BG51" i="16" s="1"/>
  <c r="BH51" i="16" s="1"/>
  <c r="BI51" i="16" s="1"/>
  <c r="W133" i="19"/>
  <c r="X133" i="19" s="1"/>
  <c r="Y133" i="19" s="1"/>
  <c r="Z133" i="19" s="1"/>
  <c r="AA133" i="19" s="1"/>
  <c r="AB133" i="19" s="1"/>
  <c r="AC133" i="19" s="1"/>
  <c r="AD133" i="19" s="1"/>
  <c r="AE133" i="19" s="1"/>
  <c r="AF133" i="19" s="1"/>
  <c r="AG133" i="19" s="1"/>
  <c r="AH133" i="19" s="1"/>
  <c r="AI133" i="19" s="1"/>
  <c r="AJ133" i="19" s="1"/>
  <c r="AK133" i="19" s="1"/>
  <c r="AL133" i="19" s="1"/>
  <c r="AM133" i="19" s="1"/>
  <c r="AN133" i="19" s="1"/>
  <c r="AO133" i="19" s="1"/>
  <c r="AP133" i="19" s="1"/>
  <c r="AQ133" i="19" s="1"/>
  <c r="AR133" i="19" s="1"/>
  <c r="AS133" i="19" s="1"/>
  <c r="AT133" i="19" s="1"/>
  <c r="AU133" i="19" s="1"/>
  <c r="AV133" i="19" s="1"/>
  <c r="AW133" i="19" s="1"/>
  <c r="AX133" i="19" s="1"/>
  <c r="AY133" i="19" s="1"/>
  <c r="AZ133" i="19" s="1"/>
  <c r="BA133" i="19" s="1"/>
  <c r="BB133" i="19" s="1"/>
  <c r="BC133" i="19" s="1"/>
  <c r="BD133" i="19" s="1"/>
  <c r="BE133" i="19" s="1"/>
  <c r="BF133" i="19" s="1"/>
  <c r="BG133" i="19" s="1"/>
  <c r="BH133" i="19" s="1"/>
  <c r="BI133" i="19" s="1"/>
  <c r="U97" i="17"/>
  <c r="V97" i="17" s="1"/>
  <c r="W97" i="17" s="1"/>
  <c r="X97" i="17" s="1"/>
  <c r="Y97" i="17" s="1"/>
  <c r="Z97" i="17" s="1"/>
  <c r="AA97" i="17" s="1"/>
  <c r="AB97" i="17" s="1"/>
  <c r="AC97" i="17" s="1"/>
  <c r="AD97" i="17" s="1"/>
  <c r="AE97" i="17" s="1"/>
  <c r="AF97" i="17" s="1"/>
  <c r="AG97" i="17" s="1"/>
  <c r="AH97" i="17" s="1"/>
  <c r="AI97" i="17" s="1"/>
  <c r="AJ97" i="17" s="1"/>
  <c r="AK97" i="17" s="1"/>
  <c r="AL97" i="17" s="1"/>
  <c r="AM97" i="17" s="1"/>
  <c r="AN97" i="17" s="1"/>
  <c r="AO97" i="17" s="1"/>
  <c r="AP97" i="17" s="1"/>
  <c r="AQ97" i="17" s="1"/>
  <c r="AR97" i="17" s="1"/>
  <c r="AS97" i="17" s="1"/>
  <c r="AT97" i="17" s="1"/>
  <c r="AU97" i="17" s="1"/>
  <c r="AV97" i="17" s="1"/>
  <c r="AW97" i="17" s="1"/>
  <c r="AX97" i="17" s="1"/>
  <c r="AY97" i="17" s="1"/>
  <c r="AZ97" i="17" s="1"/>
  <c r="BA97" i="17" s="1"/>
  <c r="BB97" i="17" s="1"/>
  <c r="BC97" i="17" s="1"/>
  <c r="BD97" i="17" s="1"/>
  <c r="BE97" i="17" s="1"/>
  <c r="BF97" i="17" s="1"/>
  <c r="BG97" i="17" s="1"/>
  <c r="BH97" i="17" s="1"/>
  <c r="BI97" i="17" s="1"/>
  <c r="U235" i="17"/>
  <c r="V235" i="17" s="1"/>
  <c r="W235" i="17" s="1"/>
  <c r="X235" i="17" s="1"/>
  <c r="Y235" i="17" s="1"/>
  <c r="Z235" i="17" s="1"/>
  <c r="AA235" i="17" s="1"/>
  <c r="AB235" i="17" s="1"/>
  <c r="AC235" i="17" s="1"/>
  <c r="AD235" i="17" s="1"/>
  <c r="AE235" i="17" s="1"/>
  <c r="AF235" i="17" s="1"/>
  <c r="AG235" i="17" s="1"/>
  <c r="AH235" i="17" s="1"/>
  <c r="AI235" i="17" s="1"/>
  <c r="AJ235" i="17" s="1"/>
  <c r="AK235" i="17" s="1"/>
  <c r="AL235" i="17" s="1"/>
  <c r="AM235" i="17" s="1"/>
  <c r="AN235" i="17" s="1"/>
  <c r="AO235" i="17" s="1"/>
  <c r="AP235" i="17" s="1"/>
  <c r="AQ235" i="17" s="1"/>
  <c r="AR235" i="17" s="1"/>
  <c r="AS235" i="17" s="1"/>
  <c r="AT235" i="17" s="1"/>
  <c r="AU235" i="17" s="1"/>
  <c r="AV235" i="17" s="1"/>
  <c r="AW235" i="17" s="1"/>
  <c r="AX235" i="17" s="1"/>
  <c r="AY235" i="17" s="1"/>
  <c r="AZ235" i="17" s="1"/>
  <c r="BA235" i="17" s="1"/>
  <c r="BB235" i="17" s="1"/>
  <c r="BC235" i="17" s="1"/>
  <c r="BD235" i="17" s="1"/>
  <c r="BE235" i="17" s="1"/>
  <c r="BF235" i="17" s="1"/>
  <c r="BG235" i="17" s="1"/>
  <c r="BH235" i="17" s="1"/>
  <c r="BI235" i="17" s="1"/>
  <c r="U114" i="17"/>
  <c r="V114" i="17" s="1"/>
  <c r="W114" i="17" s="1"/>
  <c r="X114" i="17" s="1"/>
  <c r="Y114" i="17" s="1"/>
  <c r="Z114" i="17" s="1"/>
  <c r="AA114" i="17" s="1"/>
  <c r="AB114" i="17" s="1"/>
  <c r="AC114" i="17" s="1"/>
  <c r="AD114" i="17" s="1"/>
  <c r="AE114" i="17" s="1"/>
  <c r="AF114" i="17" s="1"/>
  <c r="AG114" i="17" s="1"/>
  <c r="AH114" i="17" s="1"/>
  <c r="AI114" i="17" s="1"/>
  <c r="AJ114" i="17" s="1"/>
  <c r="AK114" i="17" s="1"/>
  <c r="AL114" i="17" s="1"/>
  <c r="AM114" i="17" s="1"/>
  <c r="AN114" i="17" s="1"/>
  <c r="AO114" i="17" s="1"/>
  <c r="AP114" i="17" s="1"/>
  <c r="AQ114" i="17" s="1"/>
  <c r="AR114" i="17" s="1"/>
  <c r="AS114" i="17" s="1"/>
  <c r="AT114" i="17" s="1"/>
  <c r="AU114" i="17" s="1"/>
  <c r="AV114" i="17" s="1"/>
  <c r="AW114" i="17" s="1"/>
  <c r="AX114" i="17" s="1"/>
  <c r="AY114" i="17" s="1"/>
  <c r="AZ114" i="17" s="1"/>
  <c r="BA114" i="17" s="1"/>
  <c r="BB114" i="17" s="1"/>
  <c r="BC114" i="17" s="1"/>
  <c r="BD114" i="17" s="1"/>
  <c r="BE114" i="17" s="1"/>
  <c r="BF114" i="17" s="1"/>
  <c r="BG114" i="17" s="1"/>
  <c r="BH114" i="17" s="1"/>
  <c r="BI114" i="17" s="1"/>
  <c r="U284" i="14"/>
  <c r="V284" i="14" s="1"/>
  <c r="W284" i="14" s="1"/>
  <c r="X284" i="14" s="1"/>
  <c r="Y284" i="14" s="1"/>
  <c r="Z284" i="14" s="1"/>
  <c r="AA284" i="14" s="1"/>
  <c r="AB284" i="14" s="1"/>
  <c r="AC284" i="14" s="1"/>
  <c r="AD284" i="14" s="1"/>
  <c r="AE284" i="14" s="1"/>
  <c r="AF284" i="14" s="1"/>
  <c r="AG284" i="14" s="1"/>
  <c r="AH284" i="14" s="1"/>
  <c r="AI284" i="14" s="1"/>
  <c r="AJ284" i="14" s="1"/>
  <c r="AK284" i="14" s="1"/>
  <c r="AL284" i="14" s="1"/>
  <c r="AM284" i="14" s="1"/>
  <c r="AN284" i="14" s="1"/>
  <c r="AO284" i="14" s="1"/>
  <c r="AP284" i="14" s="1"/>
  <c r="AQ284" i="14" s="1"/>
  <c r="AR284" i="14" s="1"/>
  <c r="AS284" i="14" s="1"/>
  <c r="AT284" i="14" s="1"/>
  <c r="AU284" i="14" s="1"/>
  <c r="AV284" i="14" s="1"/>
  <c r="AW284" i="14" s="1"/>
  <c r="AX284" i="14" s="1"/>
  <c r="AY284" i="14" s="1"/>
  <c r="AZ284" i="14" s="1"/>
  <c r="BA284" i="14" s="1"/>
  <c r="BB284" i="14" s="1"/>
  <c r="BC284" i="14" s="1"/>
  <c r="BD284" i="14" s="1"/>
  <c r="BE284" i="14" s="1"/>
  <c r="BF284" i="14" s="1"/>
  <c r="BG284" i="14" s="1"/>
  <c r="BH284" i="14" s="1"/>
  <c r="BI284" i="14" s="1"/>
  <c r="U226" i="14"/>
  <c r="V226" i="14" s="1"/>
  <c r="W226" i="14" s="1"/>
  <c r="X226" i="14" s="1"/>
  <c r="Y226" i="14" s="1"/>
  <c r="Z226" i="14" s="1"/>
  <c r="AA226" i="14" s="1"/>
  <c r="AB226" i="14" s="1"/>
  <c r="AC226" i="14" s="1"/>
  <c r="AD226" i="14" s="1"/>
  <c r="AE226" i="14" s="1"/>
  <c r="AF226" i="14" s="1"/>
  <c r="AG226" i="14" s="1"/>
  <c r="AH226" i="14" s="1"/>
  <c r="AI226" i="14" s="1"/>
  <c r="AJ226" i="14" s="1"/>
  <c r="AK226" i="14" s="1"/>
  <c r="AL226" i="14" s="1"/>
  <c r="AM226" i="14" s="1"/>
  <c r="AN226" i="14" s="1"/>
  <c r="AO226" i="14" s="1"/>
  <c r="AP226" i="14" s="1"/>
  <c r="AQ226" i="14" s="1"/>
  <c r="AR226" i="14" s="1"/>
  <c r="AS226" i="14" s="1"/>
  <c r="AT226" i="14" s="1"/>
  <c r="AU226" i="14" s="1"/>
  <c r="AV226" i="14" s="1"/>
  <c r="AW226" i="14" s="1"/>
  <c r="AX226" i="14" s="1"/>
  <c r="AY226" i="14" s="1"/>
  <c r="AZ226" i="14" s="1"/>
  <c r="BA226" i="14" s="1"/>
  <c r="BB226" i="14" s="1"/>
  <c r="BC226" i="14" s="1"/>
  <c r="BD226" i="14" s="1"/>
  <c r="BE226" i="14" s="1"/>
  <c r="BF226" i="14" s="1"/>
  <c r="BG226" i="14" s="1"/>
  <c r="BH226" i="14" s="1"/>
  <c r="BI226" i="14" s="1"/>
  <c r="T275" i="14" l="1"/>
  <c r="AA187" i="14"/>
  <c r="W258" i="14" s="1"/>
  <c r="A146" i="14" l="1"/>
  <c r="A145" i="14"/>
  <c r="P128" i="14"/>
  <c r="A128" i="14"/>
  <c r="P127" i="14"/>
  <c r="A127" i="14"/>
  <c r="P122" i="14"/>
  <c r="T146" i="14" s="1"/>
  <c r="P121" i="14"/>
  <c r="A165" i="14"/>
  <c r="S207" i="14"/>
  <c r="S258" i="14" s="1"/>
  <c r="U206" i="14"/>
  <c r="T206" i="14"/>
  <c r="U205" i="14"/>
  <c r="T205" i="14"/>
  <c r="S203" i="14"/>
  <c r="A198" i="14"/>
  <c r="AA186" i="14"/>
  <c r="AA185" i="14"/>
  <c r="AA184" i="14"/>
  <c r="AA183" i="14"/>
  <c r="AA182" i="14"/>
  <c r="AA181" i="14"/>
  <c r="AA180" i="14"/>
  <c r="AA179" i="14"/>
  <c r="AA178" i="14"/>
  <c r="AA177" i="14"/>
  <c r="AA176" i="14"/>
  <c r="AA175" i="14"/>
  <c r="AA174" i="14"/>
  <c r="AA173" i="14"/>
  <c r="AA169" i="14"/>
  <c r="T145" i="14" l="1"/>
  <c r="C39" i="28"/>
  <c r="D39" i="28" s="1"/>
  <c r="E39" i="28" s="1"/>
  <c r="F39" i="28" s="1"/>
  <c r="G39" i="28" s="1"/>
  <c r="B37" i="28" l="1"/>
  <c r="Q96" i="19"/>
  <c r="A37" i="28"/>
  <c r="A96" i="19"/>
  <c r="C36" i="28"/>
  <c r="D36" i="28" s="1"/>
  <c r="E36" i="28" s="1"/>
  <c r="F36" i="28" s="1"/>
  <c r="G36" i="28" s="1"/>
  <c r="A30" i="28"/>
  <c r="B29" i="28"/>
  <c r="A26" i="28"/>
  <c r="B25" i="28"/>
  <c r="B22" i="28"/>
  <c r="Q14" i="28"/>
  <c r="Q13" i="28"/>
  <c r="Q12" i="28"/>
  <c r="Q11" i="28"/>
  <c r="Q10" i="28"/>
  <c r="Q9" i="28"/>
  <c r="A2" i="28"/>
  <c r="A43" i="16" l="1"/>
  <c r="Q42" i="16"/>
  <c r="A89" i="19" l="1"/>
  <c r="Q88" i="19"/>
  <c r="R61" i="19" l="1"/>
  <c r="S36" i="19" s="1"/>
  <c r="R62" i="19"/>
  <c r="S37" i="19" s="1"/>
  <c r="R63" i="19"/>
  <c r="S38" i="19" s="1"/>
  <c r="R64" i="19"/>
  <c r="S40" i="19" s="1"/>
  <c r="R65" i="19"/>
  <c r="S41" i="19" s="1"/>
  <c r="R66" i="19"/>
  <c r="S45" i="19" s="1"/>
  <c r="R68" i="19"/>
  <c r="R69" i="19"/>
  <c r="S48" i="19" s="1"/>
  <c r="R70" i="19"/>
  <c r="S51" i="19" s="1"/>
  <c r="S47" i="19" l="1"/>
  <c r="V52" i="19" l="1"/>
  <c r="U52" i="19"/>
  <c r="T52" i="19"/>
  <c r="V51" i="19"/>
  <c r="V49" i="19"/>
  <c r="U49" i="19"/>
  <c r="T49" i="19"/>
  <c r="T48" i="19"/>
  <c r="V44" i="19"/>
  <c r="U44" i="19"/>
  <c r="T44" i="19"/>
  <c r="U41" i="19"/>
  <c r="V39" i="19"/>
  <c r="U39" i="19"/>
  <c r="T39" i="19"/>
  <c r="T37" i="19"/>
  <c r="S77" i="19"/>
  <c r="S76" i="19"/>
  <c r="U51" i="19"/>
  <c r="V48" i="19"/>
  <c r="V47" i="19"/>
  <c r="T45" i="19"/>
  <c r="V41" i="19"/>
  <c r="U40" i="19"/>
  <c r="V38" i="19"/>
  <c r="V37" i="19"/>
  <c r="Q67" i="19" l="1"/>
  <c r="R67" i="19" s="1"/>
  <c r="S46" i="19" s="1"/>
  <c r="U46" i="19" s="1"/>
  <c r="U48" i="19"/>
  <c r="U37" i="19"/>
  <c r="V40" i="19"/>
  <c r="T41" i="19"/>
  <c r="T38" i="19"/>
  <c r="U45" i="19"/>
  <c r="U38" i="19"/>
  <c r="V45" i="19"/>
  <c r="T47" i="19"/>
  <c r="T40" i="19"/>
  <c r="U47" i="19"/>
  <c r="T51" i="19"/>
  <c r="T46" i="19" l="1"/>
  <c r="V46" i="19"/>
  <c r="B35" i="16" l="1"/>
  <c r="A39" i="16"/>
  <c r="Q38" i="16"/>
  <c r="Q58" i="16" l="1"/>
  <c r="Q54" i="16"/>
  <c r="Q53" i="16"/>
  <c r="Q60" i="16"/>
  <c r="Q56" i="16"/>
  <c r="Q61" i="16"/>
  <c r="Q57" i="16"/>
  <c r="Q59" i="16"/>
  <c r="Q55" i="16"/>
  <c r="A118" i="19" l="1"/>
  <c r="A116" i="19"/>
  <c r="P114" i="19"/>
  <c r="P107" i="19"/>
  <c r="R95" i="19"/>
  <c r="S95" i="19" s="1"/>
  <c r="T95" i="19" s="1"/>
  <c r="U95" i="19" s="1"/>
  <c r="V95" i="19" s="1"/>
  <c r="W95" i="19" s="1"/>
  <c r="X95" i="19" s="1"/>
  <c r="Y95" i="19" s="1"/>
  <c r="Z95" i="19" s="1"/>
  <c r="AA95" i="19" s="1"/>
  <c r="AB95" i="19" s="1"/>
  <c r="AC95" i="19" s="1"/>
  <c r="AD95" i="19" s="1"/>
  <c r="AE95" i="19" s="1"/>
  <c r="AF95" i="19" s="1"/>
  <c r="AG95" i="19" s="1"/>
  <c r="AH95" i="19" s="1"/>
  <c r="AI95" i="19" s="1"/>
  <c r="AJ95" i="19" s="1"/>
  <c r="AK95" i="19" s="1"/>
  <c r="AL95" i="19" s="1"/>
  <c r="AM95" i="19" s="1"/>
  <c r="AN95" i="19" s="1"/>
  <c r="AO95" i="19" s="1"/>
  <c r="AP95" i="19" s="1"/>
  <c r="AQ95" i="19" s="1"/>
  <c r="AR95" i="19" s="1"/>
  <c r="AS95" i="19" s="1"/>
  <c r="AT95" i="19" s="1"/>
  <c r="AU95" i="19" s="1"/>
  <c r="AV95" i="19" s="1"/>
  <c r="AW95" i="19" s="1"/>
  <c r="AX95" i="19" s="1"/>
  <c r="AY95" i="19" s="1"/>
  <c r="AZ95" i="19" s="1"/>
  <c r="BA95" i="19" s="1"/>
  <c r="BB95" i="19" s="1"/>
  <c r="BC95" i="19" s="1"/>
  <c r="BD95" i="19" s="1"/>
  <c r="BE95" i="19" s="1"/>
  <c r="BF95" i="19" s="1"/>
  <c r="BG95" i="19" s="1"/>
  <c r="BH95" i="19" s="1"/>
  <c r="BI95" i="19" s="1"/>
  <c r="A85" i="19"/>
  <c r="Q84" i="19"/>
  <c r="B81" i="19"/>
  <c r="A24" i="19"/>
  <c r="A23" i="19"/>
  <c r="A20" i="19"/>
  <c r="A18" i="19"/>
  <c r="U14" i="19"/>
  <c r="V14" i="19" s="1"/>
  <c r="W14" i="19" s="1"/>
  <c r="X14" i="19" s="1"/>
  <c r="Y14" i="19" s="1"/>
  <c r="Z14" i="19" s="1"/>
  <c r="AA14" i="19" s="1"/>
  <c r="AB14" i="19" s="1"/>
  <c r="AC14" i="19" s="1"/>
  <c r="AD14" i="19" s="1"/>
  <c r="AE14" i="19" s="1"/>
  <c r="AF14" i="19" s="1"/>
  <c r="AG14" i="19" s="1"/>
  <c r="AH14" i="19" s="1"/>
  <c r="AI14" i="19" s="1"/>
  <c r="AJ14" i="19" s="1"/>
  <c r="AK14" i="19" s="1"/>
  <c r="AL14" i="19" s="1"/>
  <c r="AM14" i="19" s="1"/>
  <c r="AN14" i="19" s="1"/>
  <c r="AO14" i="19" s="1"/>
  <c r="AP14" i="19" s="1"/>
  <c r="AQ14" i="19" s="1"/>
  <c r="AR14" i="19" s="1"/>
  <c r="AS14" i="19" s="1"/>
  <c r="AT14" i="19" s="1"/>
  <c r="AU14" i="19" s="1"/>
  <c r="AV14" i="19" s="1"/>
  <c r="AW14" i="19" s="1"/>
  <c r="AX14" i="19" s="1"/>
  <c r="AY14" i="19" s="1"/>
  <c r="AZ14" i="19" s="1"/>
  <c r="BA14" i="19" s="1"/>
  <c r="BB14" i="19" s="1"/>
  <c r="BC14" i="19" s="1"/>
  <c r="BD14" i="19" s="1"/>
  <c r="BE14" i="19" s="1"/>
  <c r="BF14" i="19" s="1"/>
  <c r="BG14" i="19" s="1"/>
  <c r="BH14" i="19" s="1"/>
  <c r="BI14" i="19" s="1"/>
  <c r="BJ14" i="19" s="1"/>
  <c r="A13" i="19"/>
  <c r="U7" i="19"/>
  <c r="V7" i="19" s="1"/>
  <c r="W7" i="19" s="1"/>
  <c r="X7" i="19" s="1"/>
  <c r="Y7" i="19" s="1"/>
  <c r="Z7" i="19" s="1"/>
  <c r="AA7" i="19" s="1"/>
  <c r="AB7" i="19" s="1"/>
  <c r="AC7" i="19" s="1"/>
  <c r="AD7" i="19" s="1"/>
  <c r="AE7" i="19" s="1"/>
  <c r="AF7" i="19" s="1"/>
  <c r="AG7" i="19" s="1"/>
  <c r="AH7" i="19" s="1"/>
  <c r="AI7" i="19" s="1"/>
  <c r="AJ7" i="19" s="1"/>
  <c r="AK7" i="19" s="1"/>
  <c r="AL7" i="19" s="1"/>
  <c r="AM7" i="19" s="1"/>
  <c r="AN7" i="19" s="1"/>
  <c r="AO7" i="19" s="1"/>
  <c r="AP7" i="19" s="1"/>
  <c r="AQ7" i="19" s="1"/>
  <c r="AR7" i="19" s="1"/>
  <c r="AS7" i="19" s="1"/>
  <c r="AT7" i="19" s="1"/>
  <c r="AU7" i="19" s="1"/>
  <c r="AV7" i="19" s="1"/>
  <c r="AW7" i="19" s="1"/>
  <c r="AX7" i="19" s="1"/>
  <c r="AY7" i="19" s="1"/>
  <c r="AZ7" i="19" s="1"/>
  <c r="BA7" i="19" s="1"/>
  <c r="BB7" i="19" s="1"/>
  <c r="BC7" i="19" s="1"/>
  <c r="BD7" i="19" s="1"/>
  <c r="BE7" i="19" s="1"/>
  <c r="BF7" i="19" s="1"/>
  <c r="BG7" i="19" s="1"/>
  <c r="BH7" i="19" s="1"/>
  <c r="BI7" i="19" s="1"/>
  <c r="BJ7" i="19" s="1"/>
  <c r="A6" i="19"/>
  <c r="A4" i="19"/>
  <c r="A13" i="17"/>
  <c r="A6" i="17"/>
  <c r="A4" i="17"/>
  <c r="A2" i="19"/>
  <c r="P105" i="19" l="1"/>
  <c r="R105" i="19"/>
  <c r="Q104" i="19"/>
  <c r="P104" i="19"/>
  <c r="R104" i="19"/>
  <c r="Q105" i="19"/>
  <c r="Q102" i="19"/>
  <c r="R102" i="19"/>
  <c r="P102" i="19"/>
  <c r="A28" i="17"/>
  <c r="A26" i="17"/>
  <c r="A25" i="17"/>
  <c r="A24" i="17"/>
  <c r="A23" i="17"/>
  <c r="A20" i="17"/>
  <c r="A18" i="17"/>
  <c r="A69" i="17"/>
  <c r="A67" i="17"/>
  <c r="A216" i="17" l="1"/>
  <c r="B203" i="17"/>
  <c r="B202" i="17"/>
  <c r="B201" i="17"/>
  <c r="P194" i="17"/>
  <c r="P193" i="17"/>
  <c r="P192" i="17"/>
  <c r="P191" i="17"/>
  <c r="P190" i="17"/>
  <c r="A190" i="17"/>
  <c r="P189" i="17"/>
  <c r="AY99" i="17"/>
  <c r="AT99" i="17"/>
  <c r="AO99" i="17"/>
  <c r="AJ99" i="17"/>
  <c r="AE99" i="17"/>
  <c r="Z99" i="17"/>
  <c r="U99" i="17"/>
  <c r="Q99" i="17"/>
  <c r="A94" i="17"/>
  <c r="T92" i="17"/>
  <c r="S92" i="17"/>
  <c r="R92" i="17"/>
  <c r="R93" i="17" s="1"/>
  <c r="R91" i="17"/>
  <c r="S91" i="17" s="1"/>
  <c r="A89" i="17"/>
  <c r="Q88" i="17"/>
  <c r="U226" i="17"/>
  <c r="T226" i="17"/>
  <c r="U225" i="17"/>
  <c r="T225" i="17"/>
  <c r="AA57" i="17"/>
  <c r="W227" i="17" s="1"/>
  <c r="AA39" i="17"/>
  <c r="U14" i="17"/>
  <c r="V14" i="17" s="1"/>
  <c r="W14" i="17" s="1"/>
  <c r="X14" i="17" s="1"/>
  <c r="Y14" i="17" s="1"/>
  <c r="Z14" i="17" s="1"/>
  <c r="AA14" i="17" s="1"/>
  <c r="AB14" i="17" s="1"/>
  <c r="AC14" i="17" s="1"/>
  <c r="AD14" i="17" s="1"/>
  <c r="AE14" i="17" s="1"/>
  <c r="AF14" i="17" s="1"/>
  <c r="AG14" i="17" s="1"/>
  <c r="AH14" i="17" s="1"/>
  <c r="AI14" i="17" s="1"/>
  <c r="AJ14" i="17" s="1"/>
  <c r="AK14" i="17" s="1"/>
  <c r="AL14" i="17" s="1"/>
  <c r="AM14" i="17" s="1"/>
  <c r="AN14" i="17" s="1"/>
  <c r="AO14" i="17" s="1"/>
  <c r="AP14" i="17" s="1"/>
  <c r="AQ14" i="17" s="1"/>
  <c r="AR14" i="17" s="1"/>
  <c r="AS14" i="17" s="1"/>
  <c r="AT14" i="17" s="1"/>
  <c r="AU14" i="17" s="1"/>
  <c r="AV14" i="17" s="1"/>
  <c r="AW14" i="17" s="1"/>
  <c r="AX14" i="17" s="1"/>
  <c r="AY14" i="17" s="1"/>
  <c r="AZ14" i="17" s="1"/>
  <c r="BA14" i="17" s="1"/>
  <c r="BB14" i="17" s="1"/>
  <c r="BC14" i="17" s="1"/>
  <c r="BD14" i="17" s="1"/>
  <c r="BE14" i="17" s="1"/>
  <c r="BF14" i="17" s="1"/>
  <c r="BG14" i="17" s="1"/>
  <c r="BH14" i="17" s="1"/>
  <c r="BI14" i="17" s="1"/>
  <c r="BJ14" i="17" s="1"/>
  <c r="U7" i="17"/>
  <c r="V7" i="17" s="1"/>
  <c r="W7" i="17" s="1"/>
  <c r="X7" i="17" s="1"/>
  <c r="Y7" i="17" s="1"/>
  <c r="Z7" i="17" s="1"/>
  <c r="AA7" i="17" s="1"/>
  <c r="AB7" i="17" s="1"/>
  <c r="AC7" i="17" s="1"/>
  <c r="AD7" i="17" s="1"/>
  <c r="AE7" i="17" s="1"/>
  <c r="AF7" i="17" s="1"/>
  <c r="AG7" i="17" s="1"/>
  <c r="AH7" i="17" s="1"/>
  <c r="AI7" i="17" s="1"/>
  <c r="AJ7" i="17" s="1"/>
  <c r="AK7" i="17" s="1"/>
  <c r="AL7" i="17" s="1"/>
  <c r="AM7" i="17" s="1"/>
  <c r="AN7" i="17" s="1"/>
  <c r="AO7" i="17" s="1"/>
  <c r="AP7" i="17" s="1"/>
  <c r="AQ7" i="17" s="1"/>
  <c r="AR7" i="17" s="1"/>
  <c r="AS7" i="17" s="1"/>
  <c r="AT7" i="17" s="1"/>
  <c r="AU7" i="17" s="1"/>
  <c r="AV7" i="17" s="1"/>
  <c r="AW7" i="17" s="1"/>
  <c r="AX7" i="17" s="1"/>
  <c r="AY7" i="17" s="1"/>
  <c r="AZ7" i="17" s="1"/>
  <c r="BA7" i="17" s="1"/>
  <c r="BB7" i="17" s="1"/>
  <c r="BC7" i="17" s="1"/>
  <c r="BD7" i="17" s="1"/>
  <c r="BE7" i="17" s="1"/>
  <c r="BF7" i="17" s="1"/>
  <c r="BG7" i="17" s="1"/>
  <c r="BH7" i="17" s="1"/>
  <c r="BI7" i="17" s="1"/>
  <c r="BJ7" i="17" s="1"/>
  <c r="A2" i="17"/>
  <c r="T91" i="17" l="1"/>
  <c r="AA99" i="17"/>
  <c r="AB99" i="17" s="1"/>
  <c r="AC99" i="17" s="1"/>
  <c r="AD99" i="17" s="1"/>
  <c r="AU99" i="17"/>
  <c r="AV99" i="17" s="1"/>
  <c r="AW99" i="17" s="1"/>
  <c r="AX99" i="17" s="1"/>
  <c r="AF99" i="17"/>
  <c r="AG99" i="17" s="1"/>
  <c r="AH99" i="17" s="1"/>
  <c r="AI99" i="17" s="1"/>
  <c r="V99" i="17"/>
  <c r="W99" i="17" s="1"/>
  <c r="X99" i="17" s="1"/>
  <c r="Y99" i="17" s="1"/>
  <c r="AP99" i="17"/>
  <c r="AQ99" i="17" s="1"/>
  <c r="AR99" i="17" s="1"/>
  <c r="AS99" i="17" s="1"/>
  <c r="R99" i="17"/>
  <c r="S99" i="17" s="1"/>
  <c r="T99" i="17" s="1"/>
  <c r="AK99" i="17"/>
  <c r="AL99" i="17" s="1"/>
  <c r="AM99" i="17" s="1"/>
  <c r="AN99" i="17" s="1"/>
  <c r="B200" i="17"/>
  <c r="P218" i="17" s="1"/>
  <c r="S93" i="17"/>
  <c r="T93" i="17" s="1"/>
  <c r="U93" i="17" s="1"/>
  <c r="Q101" i="17"/>
  <c r="Q107" i="17" s="1"/>
  <c r="B40" i="28" s="1"/>
  <c r="AZ99" i="17"/>
  <c r="U91" i="17" l="1"/>
  <c r="BG218" i="17"/>
  <c r="BC218" i="17"/>
  <c r="AY218" i="17"/>
  <c r="AU218" i="17"/>
  <c r="AQ218" i="17"/>
  <c r="AM218" i="17"/>
  <c r="AI218" i="17"/>
  <c r="AE218" i="17"/>
  <c r="AA218" i="17"/>
  <c r="W218" i="17"/>
  <c r="S218" i="17"/>
  <c r="BF218" i="17"/>
  <c r="BB218" i="17"/>
  <c r="AX218" i="17"/>
  <c r="AT218" i="17"/>
  <c r="AP218" i="17"/>
  <c r="AL218" i="17"/>
  <c r="AH218" i="17"/>
  <c r="AD218" i="17"/>
  <c r="Z218" i="17"/>
  <c r="V218" i="17"/>
  <c r="BI218" i="17"/>
  <c r="BE218" i="17"/>
  <c r="BA218" i="17"/>
  <c r="AW218" i="17"/>
  <c r="AS218" i="17"/>
  <c r="AO218" i="17"/>
  <c r="AK218" i="17"/>
  <c r="AG218" i="17"/>
  <c r="AC218" i="17"/>
  <c r="Y218" i="17"/>
  <c r="U218" i="17"/>
  <c r="AZ218" i="17"/>
  <c r="AJ218" i="17"/>
  <c r="T218" i="17"/>
  <c r="AR218" i="17"/>
  <c r="AB218" i="17"/>
  <c r="BD218" i="17"/>
  <c r="X218" i="17"/>
  <c r="AV218" i="17"/>
  <c r="AF218" i="17"/>
  <c r="BH218" i="17"/>
  <c r="AN218" i="17"/>
  <c r="P220" i="17"/>
  <c r="P216" i="17"/>
  <c r="P217" i="17"/>
  <c r="P215" i="17"/>
  <c r="P219" i="17"/>
  <c r="V93" i="17"/>
  <c r="W93" i="17" s="1"/>
  <c r="X93" i="17" s="1"/>
  <c r="Y93" i="17" s="1"/>
  <c r="Z93" i="17" s="1"/>
  <c r="AA93" i="17" s="1"/>
  <c r="AB93" i="17" s="1"/>
  <c r="AC93" i="17" s="1"/>
  <c r="AD93" i="17" s="1"/>
  <c r="AE93" i="17" s="1"/>
  <c r="AF93" i="17" s="1"/>
  <c r="AG93" i="17" s="1"/>
  <c r="AH93" i="17" s="1"/>
  <c r="AI93" i="17" s="1"/>
  <c r="AJ93" i="17" s="1"/>
  <c r="AK93" i="17" s="1"/>
  <c r="AL93" i="17" s="1"/>
  <c r="AM93" i="17" s="1"/>
  <c r="AN93" i="17" s="1"/>
  <c r="AO93" i="17" s="1"/>
  <c r="AP93" i="17" s="1"/>
  <c r="AQ93" i="17" s="1"/>
  <c r="AR93" i="17" s="1"/>
  <c r="AS93" i="17" s="1"/>
  <c r="AT93" i="17" s="1"/>
  <c r="AU93" i="17" s="1"/>
  <c r="AV93" i="17" s="1"/>
  <c r="AW93" i="17" s="1"/>
  <c r="AX93" i="17" s="1"/>
  <c r="AY93" i="17" s="1"/>
  <c r="AZ93" i="17" s="1"/>
  <c r="BA93" i="17" s="1"/>
  <c r="BB93" i="17" s="1"/>
  <c r="BC93" i="17" s="1"/>
  <c r="BD93" i="17" s="1"/>
  <c r="BE93" i="17" s="1"/>
  <c r="BF93" i="17" s="1"/>
  <c r="BG93" i="17" s="1"/>
  <c r="BH93" i="17" s="1"/>
  <c r="BI93" i="17" s="1"/>
  <c r="U101" i="17"/>
  <c r="U107" i="17" s="1"/>
  <c r="F40" i="28" s="1"/>
  <c r="AF100" i="17"/>
  <c r="AK100" i="17"/>
  <c r="V100" i="17"/>
  <c r="AZ100" i="17"/>
  <c r="BA99" i="17"/>
  <c r="R100" i="17"/>
  <c r="R101" i="17"/>
  <c r="AA100" i="17"/>
  <c r="R107" i="17" l="1"/>
  <c r="C40" i="28" s="1"/>
  <c r="R106" i="17"/>
  <c r="V91" i="17"/>
  <c r="BI219" i="17"/>
  <c r="BE219" i="17"/>
  <c r="BA219" i="17"/>
  <c r="AW219" i="17"/>
  <c r="AS219" i="17"/>
  <c r="AO219" i="17"/>
  <c r="AK219" i="17"/>
  <c r="AG219" i="17"/>
  <c r="AC219" i="17"/>
  <c r="Y219" i="17"/>
  <c r="U219" i="17"/>
  <c r="BH219" i="17"/>
  <c r="BD219" i="17"/>
  <c r="AZ219" i="17"/>
  <c r="AV219" i="17"/>
  <c r="AR219" i="17"/>
  <c r="AN219" i="17"/>
  <c r="AJ219" i="17"/>
  <c r="AF219" i="17"/>
  <c r="AB219" i="17"/>
  <c r="X219" i="17"/>
  <c r="T219" i="17"/>
  <c r="BG219" i="17"/>
  <c r="BC219" i="17"/>
  <c r="AY219" i="17"/>
  <c r="AU219" i="17"/>
  <c r="AQ219" i="17"/>
  <c r="AM219" i="17"/>
  <c r="AI219" i="17"/>
  <c r="AE219" i="17"/>
  <c r="AA219" i="17"/>
  <c r="W219" i="17"/>
  <c r="BF219" i="17"/>
  <c r="AP219" i="17"/>
  <c r="Z219" i="17"/>
  <c r="S219" i="17"/>
  <c r="AX219" i="17"/>
  <c r="AH219" i="17"/>
  <c r="AT219" i="17"/>
  <c r="AD219" i="17"/>
  <c r="BB219" i="17"/>
  <c r="AL219" i="17"/>
  <c r="V219" i="17"/>
  <c r="BG220" i="17"/>
  <c r="BC220" i="17"/>
  <c r="AY220" i="17"/>
  <c r="AU220" i="17"/>
  <c r="AQ220" i="17"/>
  <c r="AM220" i="17"/>
  <c r="AI220" i="17"/>
  <c r="AE220" i="17"/>
  <c r="AA220" i="17"/>
  <c r="W220" i="17"/>
  <c r="BD220" i="17"/>
  <c r="AV220" i="17"/>
  <c r="AR220" i="17"/>
  <c r="AF220" i="17"/>
  <c r="X220" i="17"/>
  <c r="T220" i="17"/>
  <c r="BF220" i="17"/>
  <c r="BB220" i="17"/>
  <c r="AX220" i="17"/>
  <c r="AT220" i="17"/>
  <c r="AP220" i="17"/>
  <c r="AL220" i="17"/>
  <c r="AH220" i="17"/>
  <c r="AD220" i="17"/>
  <c r="Z220" i="17"/>
  <c r="V220" i="17"/>
  <c r="BI220" i="17"/>
  <c r="BE220" i="17"/>
  <c r="BA220" i="17"/>
  <c r="AW220" i="17"/>
  <c r="AS220" i="17"/>
  <c r="AO220" i="17"/>
  <c r="AK220" i="17"/>
  <c r="AG220" i="17"/>
  <c r="AC220" i="17"/>
  <c r="Y220" i="17"/>
  <c r="U220" i="17"/>
  <c r="S220" i="17"/>
  <c r="BH220" i="17"/>
  <c r="AZ220" i="17"/>
  <c r="AN220" i="17"/>
  <c r="AJ220" i="17"/>
  <c r="AB220" i="17"/>
  <c r="BI215" i="17"/>
  <c r="BE215" i="17"/>
  <c r="BA215" i="17"/>
  <c r="AW215" i="17"/>
  <c r="AS215" i="17"/>
  <c r="AO215" i="17"/>
  <c r="AK215" i="17"/>
  <c r="AG215" i="17"/>
  <c r="AC215" i="17"/>
  <c r="Y215" i="17"/>
  <c r="U215" i="17"/>
  <c r="BH215" i="17"/>
  <c r="BD215" i="17"/>
  <c r="AZ215" i="17"/>
  <c r="AV215" i="17"/>
  <c r="AR215" i="17"/>
  <c r="AN215" i="17"/>
  <c r="AJ215" i="17"/>
  <c r="AF215" i="17"/>
  <c r="AB215" i="17"/>
  <c r="X215" i="17"/>
  <c r="T215" i="17"/>
  <c r="BG215" i="17"/>
  <c r="BC215" i="17"/>
  <c r="AY215" i="17"/>
  <c r="AU215" i="17"/>
  <c r="AQ215" i="17"/>
  <c r="AM215" i="17"/>
  <c r="AI215" i="17"/>
  <c r="AE215" i="17"/>
  <c r="AA215" i="17"/>
  <c r="W215" i="17"/>
  <c r="AX215" i="17"/>
  <c r="AH215" i="17"/>
  <c r="AP215" i="17"/>
  <c r="BB215" i="17"/>
  <c r="V215" i="17"/>
  <c r="AT215" i="17"/>
  <c r="AD215" i="17"/>
  <c r="S215" i="17"/>
  <c r="BF215" i="17"/>
  <c r="Z215" i="17"/>
  <c r="AL215" i="17"/>
  <c r="BI217" i="17"/>
  <c r="BE217" i="17"/>
  <c r="BA217" i="17"/>
  <c r="AW217" i="17"/>
  <c r="AS217" i="17"/>
  <c r="AO217" i="17"/>
  <c r="AK217" i="17"/>
  <c r="AG217" i="17"/>
  <c r="AC217" i="17"/>
  <c r="Y217" i="17"/>
  <c r="U217" i="17"/>
  <c r="U237" i="17" s="1"/>
  <c r="BH217" i="17"/>
  <c r="BD217" i="17"/>
  <c r="AZ217" i="17"/>
  <c r="AV217" i="17"/>
  <c r="AR217" i="17"/>
  <c r="AN217" i="17"/>
  <c r="AJ217" i="17"/>
  <c r="AF217" i="17"/>
  <c r="AB217" i="17"/>
  <c r="X217" i="17"/>
  <c r="T217" i="17"/>
  <c r="S217" i="17"/>
  <c r="BG217" i="17"/>
  <c r="BC217" i="17"/>
  <c r="AY217" i="17"/>
  <c r="AU217" i="17"/>
  <c r="AQ217" i="17"/>
  <c r="AM217" i="17"/>
  <c r="AI217" i="17"/>
  <c r="AE217" i="17"/>
  <c r="AA217" i="17"/>
  <c r="W217" i="17"/>
  <c r="AT217" i="17"/>
  <c r="AD217" i="17"/>
  <c r="AL217" i="17"/>
  <c r="V217" i="17"/>
  <c r="AH217" i="17"/>
  <c r="BF217" i="17"/>
  <c r="AP217" i="17"/>
  <c r="Z217" i="17"/>
  <c r="BB217" i="17"/>
  <c r="AX217" i="17"/>
  <c r="BG216" i="17"/>
  <c r="BC216" i="17"/>
  <c r="AY216" i="17"/>
  <c r="AU216" i="17"/>
  <c r="AQ216" i="17"/>
  <c r="AM216" i="17"/>
  <c r="AI216" i="17"/>
  <c r="AE216" i="17"/>
  <c r="AA216" i="17"/>
  <c r="W216" i="17"/>
  <c r="BF216" i="17"/>
  <c r="BB216" i="17"/>
  <c r="AX216" i="17"/>
  <c r="AT216" i="17"/>
  <c r="AP216" i="17"/>
  <c r="AL216" i="17"/>
  <c r="AH216" i="17"/>
  <c r="AD216" i="17"/>
  <c r="Z216" i="17"/>
  <c r="V216" i="17"/>
  <c r="BI216" i="17"/>
  <c r="BE216" i="17"/>
  <c r="BA216" i="17"/>
  <c r="AW216" i="17"/>
  <c r="AS216" i="17"/>
  <c r="AO216" i="17"/>
  <c r="AK216" i="17"/>
  <c r="AG216" i="17"/>
  <c r="AC216" i="17"/>
  <c r="Y216" i="17"/>
  <c r="U216" i="17"/>
  <c r="S216" i="17"/>
  <c r="BD216" i="17"/>
  <c r="AN216" i="17"/>
  <c r="X216" i="17"/>
  <c r="AF216" i="17"/>
  <c r="AR216" i="17"/>
  <c r="AZ216" i="17"/>
  <c r="AJ216" i="17"/>
  <c r="T216" i="17"/>
  <c r="AV216" i="17"/>
  <c r="BH216" i="17"/>
  <c r="AB216" i="17"/>
  <c r="AF101" i="17"/>
  <c r="O27" i="37" s="1"/>
  <c r="V101" i="17"/>
  <c r="E27" i="37" s="1"/>
  <c r="AK101" i="17"/>
  <c r="AK107" i="17" s="1"/>
  <c r="AA101" i="17"/>
  <c r="J27" i="37" s="1"/>
  <c r="AJ101" i="17"/>
  <c r="S27" i="37" s="1"/>
  <c r="AO101" i="17"/>
  <c r="AO107" i="17" s="1"/>
  <c r="U116" i="17"/>
  <c r="AT101" i="17"/>
  <c r="AT107" i="17" s="1"/>
  <c r="Z101" i="17"/>
  <c r="I27" i="37" s="1"/>
  <c r="AZ101" i="17"/>
  <c r="AZ107" i="17" s="1"/>
  <c r="AY101" i="17"/>
  <c r="AY107" i="17" s="1"/>
  <c r="AE101" i="17"/>
  <c r="N27" i="37" s="1"/>
  <c r="AP101" i="17"/>
  <c r="AP107" i="17" s="1"/>
  <c r="AP100" i="17"/>
  <c r="AU101" i="17"/>
  <c r="AU107" i="17" s="1"/>
  <c r="AU100" i="17"/>
  <c r="AB101" i="17"/>
  <c r="K27" i="37" s="1"/>
  <c r="AB100" i="17"/>
  <c r="AG101" i="17"/>
  <c r="P27" i="37" s="1"/>
  <c r="AG100" i="17"/>
  <c r="AL100" i="17"/>
  <c r="AL101" i="17"/>
  <c r="S101" i="17"/>
  <c r="S100" i="17"/>
  <c r="W101" i="17"/>
  <c r="F27" i="37" s="1"/>
  <c r="W100" i="17"/>
  <c r="BA101" i="17"/>
  <c r="BA107" i="17" s="1"/>
  <c r="BB99" i="17"/>
  <c r="BA100" i="17"/>
  <c r="P46" i="37" l="1"/>
  <c r="P33" i="37"/>
  <c r="E46" i="37"/>
  <c r="E33" i="37"/>
  <c r="N46" i="37"/>
  <c r="N33" i="37"/>
  <c r="J46" i="37"/>
  <c r="J33" i="37"/>
  <c r="F46" i="37"/>
  <c r="F33" i="37"/>
  <c r="K46" i="37"/>
  <c r="K33" i="37"/>
  <c r="I46" i="37"/>
  <c r="I33" i="37"/>
  <c r="S46" i="37"/>
  <c r="S33" i="37"/>
  <c r="O46" i="37"/>
  <c r="O33" i="37"/>
  <c r="E125" i="37"/>
  <c r="E132" i="37" s="1"/>
  <c r="AA107" i="17"/>
  <c r="AG107" i="17"/>
  <c r="AE107" i="17"/>
  <c r="W107" i="17"/>
  <c r="AB107" i="17"/>
  <c r="Z107" i="17"/>
  <c r="AJ107" i="17"/>
  <c r="AF107" i="17"/>
  <c r="S106" i="17"/>
  <c r="S107" i="17"/>
  <c r="D40" i="28" s="1"/>
  <c r="AL106" i="17"/>
  <c r="AL107" i="17"/>
  <c r="V106" i="17"/>
  <c r="V107" i="17"/>
  <c r="G40" i="28" s="1"/>
  <c r="W91" i="17"/>
  <c r="AU106" i="17"/>
  <c r="W106" i="17"/>
  <c r="AG106" i="17"/>
  <c r="AA106" i="17"/>
  <c r="AP106" i="17"/>
  <c r="BA106" i="17"/>
  <c r="AZ106" i="17"/>
  <c r="AF106" i="17"/>
  <c r="AB106" i="17"/>
  <c r="AK106" i="17"/>
  <c r="AU237" i="17"/>
  <c r="AA237" i="17"/>
  <c r="W237" i="17"/>
  <c r="AB237" i="17"/>
  <c r="AY237" i="17"/>
  <c r="AE237" i="17"/>
  <c r="AL237" i="17"/>
  <c r="AG237" i="17"/>
  <c r="V237" i="17"/>
  <c r="AP237" i="17"/>
  <c r="AK237" i="17"/>
  <c r="BA237" i="17"/>
  <c r="Z237" i="17"/>
  <c r="AF237" i="17"/>
  <c r="AZ237" i="17"/>
  <c r="AO237" i="17"/>
  <c r="AJ237" i="17"/>
  <c r="AT237" i="17"/>
  <c r="AZ116" i="17"/>
  <c r="AJ116" i="17"/>
  <c r="AF116" i="17"/>
  <c r="V116" i="17"/>
  <c r="AA116" i="17"/>
  <c r="AY116" i="17"/>
  <c r="AT116" i="17"/>
  <c r="AK116" i="17"/>
  <c r="AO116" i="17"/>
  <c r="Z116" i="17"/>
  <c r="AE116" i="17"/>
  <c r="AP116" i="17"/>
  <c r="AU116" i="17"/>
  <c r="AQ100" i="17"/>
  <c r="AQ101" i="17"/>
  <c r="AV100" i="17"/>
  <c r="AV101" i="17"/>
  <c r="AB116" i="17"/>
  <c r="W116" i="17"/>
  <c r="AL116" i="17"/>
  <c r="AG116" i="17"/>
  <c r="BA116" i="17"/>
  <c r="AM101" i="17"/>
  <c r="AM100" i="17"/>
  <c r="AC101" i="17"/>
  <c r="L27" i="37" s="1"/>
  <c r="AC100" i="17"/>
  <c r="T101" i="17"/>
  <c r="T107" i="17" s="1"/>
  <c r="E40" i="28" s="1"/>
  <c r="T100" i="17"/>
  <c r="U100" i="17"/>
  <c r="BB100" i="17"/>
  <c r="BB101" i="17"/>
  <c r="BC99" i="17"/>
  <c r="X101" i="17"/>
  <c r="G27" i="37" s="1"/>
  <c r="X100" i="17"/>
  <c r="AH100" i="17"/>
  <c r="AH101" i="17"/>
  <c r="Q27" i="37" s="1"/>
  <c r="Q50" i="28" l="1"/>
  <c r="M50" i="28"/>
  <c r="I50" i="28"/>
  <c r="E50" i="28"/>
  <c r="P50" i="28"/>
  <c r="L50" i="28"/>
  <c r="H50" i="28"/>
  <c r="D50" i="28"/>
  <c r="O50" i="28"/>
  <c r="K50" i="28"/>
  <c r="G50" i="28"/>
  <c r="C50" i="28"/>
  <c r="N50" i="28"/>
  <c r="J50" i="28"/>
  <c r="F50" i="28"/>
  <c r="B50" i="28"/>
  <c r="G46" i="37"/>
  <c r="G33" i="37"/>
  <c r="L46" i="37"/>
  <c r="L33" i="37"/>
  <c r="Q46" i="37"/>
  <c r="Q33" i="37"/>
  <c r="O125" i="37"/>
  <c r="O132" i="37" s="1"/>
  <c r="S125" i="37"/>
  <c r="S132" i="37" s="1"/>
  <c r="K125" i="37"/>
  <c r="K132" i="37" s="1"/>
  <c r="N125" i="37"/>
  <c r="N132" i="37" s="1"/>
  <c r="J125" i="37"/>
  <c r="J132" i="37" s="1"/>
  <c r="I125" i="37"/>
  <c r="I132" i="37" s="1"/>
  <c r="F125" i="37"/>
  <c r="F132" i="37" s="1"/>
  <c r="P125" i="37"/>
  <c r="P132" i="37" s="1"/>
  <c r="E204" i="37"/>
  <c r="E211" i="37" s="1"/>
  <c r="AC106" i="17"/>
  <c r="AC107" i="17"/>
  <c r="AQ106" i="17"/>
  <c r="AQ107" i="17"/>
  <c r="BB106" i="17"/>
  <c r="BB107" i="17"/>
  <c r="AV106" i="17"/>
  <c r="AV107" i="17"/>
  <c r="AH106" i="17"/>
  <c r="AH107" i="17"/>
  <c r="X106" i="17"/>
  <c r="X107" i="17"/>
  <c r="AM106" i="17"/>
  <c r="AM107" i="17"/>
  <c r="X91" i="17"/>
  <c r="T106" i="17"/>
  <c r="U106" i="17"/>
  <c r="AC237" i="17"/>
  <c r="AQ237" i="17"/>
  <c r="T237" i="17"/>
  <c r="AV237" i="17"/>
  <c r="AH237" i="17"/>
  <c r="BB237" i="17"/>
  <c r="X237" i="17"/>
  <c r="AM237" i="17"/>
  <c r="AR100" i="17"/>
  <c r="AW101" i="17"/>
  <c r="AR101" i="17"/>
  <c r="AQ116" i="17"/>
  <c r="AW100" i="17"/>
  <c r="AV116" i="17"/>
  <c r="BB116" i="17"/>
  <c r="T116" i="17"/>
  <c r="AM116" i="17"/>
  <c r="AH116" i="17"/>
  <c r="X116" i="17"/>
  <c r="AC116" i="17"/>
  <c r="AI101" i="17"/>
  <c r="R27" i="37" s="1"/>
  <c r="AI100" i="17"/>
  <c r="AJ100" i="17"/>
  <c r="BC101" i="17"/>
  <c r="BD99" i="17"/>
  <c r="BC100" i="17"/>
  <c r="AN101" i="17"/>
  <c r="AN107" i="17" s="1"/>
  <c r="AN100" i="17"/>
  <c r="AO100" i="17"/>
  <c r="AX100" i="17"/>
  <c r="Y101" i="17"/>
  <c r="H27" i="37" s="1"/>
  <c r="Y100" i="17"/>
  <c r="Z100" i="17"/>
  <c r="AD100" i="17"/>
  <c r="AD101" i="17"/>
  <c r="M27" i="37" s="1"/>
  <c r="AE100" i="17"/>
  <c r="H46" i="37" l="1"/>
  <c r="H33" i="37"/>
  <c r="R46" i="37"/>
  <c r="R33" i="37"/>
  <c r="M46" i="37"/>
  <c r="M33" i="37"/>
  <c r="G125" i="37"/>
  <c r="G132" i="37" s="1"/>
  <c r="L125" i="37"/>
  <c r="L132" i="37" s="1"/>
  <c r="Q125" i="37"/>
  <c r="Q132" i="37" s="1"/>
  <c r="P204" i="37"/>
  <c r="P211" i="37" s="1"/>
  <c r="J204" i="37"/>
  <c r="J211" i="37" s="1"/>
  <c r="O204" i="37"/>
  <c r="O211" i="37" s="1"/>
  <c r="F204" i="37"/>
  <c r="F211" i="37" s="1"/>
  <c r="N204" i="37"/>
  <c r="N211" i="37" s="1"/>
  <c r="S204" i="37"/>
  <c r="S211" i="37" s="1"/>
  <c r="I204" i="37"/>
  <c r="I211" i="37" s="1"/>
  <c r="K204" i="37"/>
  <c r="K211" i="37" s="1"/>
  <c r="AD107" i="17"/>
  <c r="Y107" i="17"/>
  <c r="AI107" i="17"/>
  <c r="AR106" i="17"/>
  <c r="AR107" i="17"/>
  <c r="AW106" i="17"/>
  <c r="AW107" i="17"/>
  <c r="BC106" i="17"/>
  <c r="BC107" i="17"/>
  <c r="Y91" i="17"/>
  <c r="C93" i="28"/>
  <c r="D93" i="28" s="1"/>
  <c r="E93" i="28" s="1"/>
  <c r="AN106" i="17"/>
  <c r="AO106" i="17"/>
  <c r="AD106" i="17"/>
  <c r="AE106" i="17"/>
  <c r="Y106" i="17"/>
  <c r="Z106" i="17"/>
  <c r="AI106" i="17"/>
  <c r="AJ106" i="17"/>
  <c r="C86" i="28"/>
  <c r="D86" i="28" s="1"/>
  <c r="E86" i="28" s="1"/>
  <c r="C96" i="28"/>
  <c r="D96" i="28" s="1"/>
  <c r="E96" i="28" s="1"/>
  <c r="Y237" i="17"/>
  <c r="AR237" i="17"/>
  <c r="AN237" i="17"/>
  <c r="AI237" i="17"/>
  <c r="AD237" i="17"/>
  <c r="AW237" i="17"/>
  <c r="BC237" i="17"/>
  <c r="AX101" i="17"/>
  <c r="AX107" i="17" s="1"/>
  <c r="AS101" i="17"/>
  <c r="AS107" i="17" s="1"/>
  <c r="AY100" i="17"/>
  <c r="AT100" i="17"/>
  <c r="AS100" i="17"/>
  <c r="AW116" i="17"/>
  <c r="AR116" i="17"/>
  <c r="AN116" i="17"/>
  <c r="AD116" i="17"/>
  <c r="BC116" i="17"/>
  <c r="Y116" i="17"/>
  <c r="AI116" i="17"/>
  <c r="BD101" i="17"/>
  <c r="BD100" i="17"/>
  <c r="BE99" i="17"/>
  <c r="Q204" i="37" l="1"/>
  <c r="Q211" i="37" s="1"/>
  <c r="G204" i="37"/>
  <c r="G211" i="37" s="1"/>
  <c r="L204" i="37"/>
  <c r="L211" i="37" s="1"/>
  <c r="F93" i="28"/>
  <c r="G93" i="28" s="1"/>
  <c r="H93" i="28" s="1"/>
  <c r="I93" i="28" s="1"/>
  <c r="J93" i="28" s="1"/>
  <c r="K93" i="28" s="1"/>
  <c r="L93" i="28" s="1"/>
  <c r="M93" i="28" s="1"/>
  <c r="N93" i="28" s="1"/>
  <c r="O93" i="28" s="1"/>
  <c r="P93" i="28" s="1"/>
  <c r="Q93" i="28" s="1"/>
  <c r="R125" i="37"/>
  <c r="R132" i="37" s="1"/>
  <c r="M125" i="37"/>
  <c r="M132" i="37" s="1"/>
  <c r="H125" i="37"/>
  <c r="H132" i="37" s="1"/>
  <c r="BD106" i="17"/>
  <c r="BD107" i="17"/>
  <c r="Z91" i="17"/>
  <c r="F86" i="28"/>
  <c r="G86" i="28" s="1"/>
  <c r="H86" i="28" s="1"/>
  <c r="I86" i="28" s="1"/>
  <c r="J86" i="28" s="1"/>
  <c r="K86" i="28" s="1"/>
  <c r="L86" i="28" s="1"/>
  <c r="M86" i="28" s="1"/>
  <c r="N86" i="28" s="1"/>
  <c r="O86" i="28" s="1"/>
  <c r="P86" i="28" s="1"/>
  <c r="Q86" i="28" s="1"/>
  <c r="F96" i="28"/>
  <c r="G96" i="28" s="1"/>
  <c r="H96" i="28" s="1"/>
  <c r="I96" i="28" s="1"/>
  <c r="J96" i="28" s="1"/>
  <c r="K96" i="28" s="1"/>
  <c r="L96" i="28" s="1"/>
  <c r="M96" i="28" s="1"/>
  <c r="N96" i="28" s="1"/>
  <c r="O96" i="28" s="1"/>
  <c r="P96" i="28" s="1"/>
  <c r="Q96" i="28" s="1"/>
  <c r="AX106" i="17"/>
  <c r="AY106" i="17"/>
  <c r="AS106" i="17"/>
  <c r="AT106" i="17"/>
  <c r="AX116" i="17"/>
  <c r="AS237" i="17"/>
  <c r="AS116" i="17"/>
  <c r="AX237" i="17"/>
  <c r="BD237" i="17"/>
  <c r="BD116" i="17"/>
  <c r="BE101" i="17"/>
  <c r="BF99" i="17"/>
  <c r="BE100" i="17"/>
  <c r="R204" i="37" l="1"/>
  <c r="R211" i="37" s="1"/>
  <c r="H204" i="37"/>
  <c r="H211" i="37" s="1"/>
  <c r="C33" i="37"/>
  <c r="M204" i="37"/>
  <c r="M211" i="37" s="1"/>
  <c r="BE106" i="17"/>
  <c r="BE107" i="17"/>
  <c r="AA91" i="17"/>
  <c r="BE237" i="17"/>
  <c r="BE116" i="17"/>
  <c r="BF100" i="17"/>
  <c r="BF101" i="17"/>
  <c r="BG99" i="17"/>
  <c r="C211" i="37" l="1"/>
  <c r="C132" i="37"/>
  <c r="BF106" i="17"/>
  <c r="BF107" i="17"/>
  <c r="AB91" i="17"/>
  <c r="BF237" i="17"/>
  <c r="BF116" i="17"/>
  <c r="BG101" i="17"/>
  <c r="BH99" i="17"/>
  <c r="BG100" i="17"/>
  <c r="BG106" i="17" l="1"/>
  <c r="BG107" i="17"/>
  <c r="AC91" i="17"/>
  <c r="BG237" i="17"/>
  <c r="BG116" i="17"/>
  <c r="BH101" i="17"/>
  <c r="BH100" i="17"/>
  <c r="BI99" i="17"/>
  <c r="BH106" i="17" l="1"/>
  <c r="BH107" i="17"/>
  <c r="AD91" i="17"/>
  <c r="BH237" i="17"/>
  <c r="BH116" i="17"/>
  <c r="BI101" i="17"/>
  <c r="BI100" i="17"/>
  <c r="BI106" i="17" l="1"/>
  <c r="BI107" i="17"/>
  <c r="AE91" i="17"/>
  <c r="BI237" i="17"/>
  <c r="BI116" i="17"/>
  <c r="AF91" i="17" l="1"/>
  <c r="A2" i="16"/>
  <c r="AG91" i="17" l="1"/>
  <c r="S21" i="14"/>
  <c r="S19" i="14"/>
  <c r="S36" i="14" s="1"/>
  <c r="AA35" i="14"/>
  <c r="Z35" i="14"/>
  <c r="Y35" i="14"/>
  <c r="AH91" i="17" l="1"/>
  <c r="T52" i="14"/>
  <c r="T10" i="19" s="1"/>
  <c r="AI91" i="17" l="1"/>
  <c r="T10" i="17"/>
  <c r="U24" i="14"/>
  <c r="U23" i="14"/>
  <c r="U22" i="14"/>
  <c r="U21" i="14"/>
  <c r="U19" i="14"/>
  <c r="T24" i="14"/>
  <c r="T23" i="14"/>
  <c r="T22" i="14"/>
  <c r="T21" i="14"/>
  <c r="T19" i="14"/>
  <c r="T36" i="14" s="1"/>
  <c r="AC9" i="14"/>
  <c r="AC14" i="14" s="1"/>
  <c r="AB9" i="14"/>
  <c r="AB14" i="14" s="1"/>
  <c r="Z9" i="14"/>
  <c r="Z14" i="14" s="1"/>
  <c r="Y9" i="14"/>
  <c r="Y14" i="14" s="1"/>
  <c r="W9" i="14"/>
  <c r="W14" i="14" s="1"/>
  <c r="V9" i="14"/>
  <c r="V14" i="14" s="1"/>
  <c r="T9" i="14"/>
  <c r="U20" i="14" s="1"/>
  <c r="S9" i="14"/>
  <c r="T20" i="14" s="1"/>
  <c r="AJ91" i="17" l="1"/>
  <c r="AE52" i="14"/>
  <c r="T35" i="14"/>
  <c r="Q137" i="14" s="1"/>
  <c r="U35" i="14"/>
  <c r="U36" i="14"/>
  <c r="S14" i="14"/>
  <c r="T14" i="14"/>
  <c r="AK91" i="17" l="1"/>
  <c r="R137" i="14"/>
  <c r="R138" i="14"/>
  <c r="Q138" i="14"/>
  <c r="AE10" i="17"/>
  <c r="AE10" i="19"/>
  <c r="AE51" i="14"/>
  <c r="AE9" i="19" s="1"/>
  <c r="AY51" i="14"/>
  <c r="AY9" i="19" s="1"/>
  <c r="AY52" i="14"/>
  <c r="AY10" i="19" s="1"/>
  <c r="U257" i="14"/>
  <c r="U256" i="14"/>
  <c r="T257" i="14"/>
  <c r="T256" i="14"/>
  <c r="AL91" i="17" l="1"/>
  <c r="AY10" i="17"/>
  <c r="AY9" i="17"/>
  <c r="AE9" i="17"/>
  <c r="AZ52" i="14"/>
  <c r="AZ10" i="19" s="1"/>
  <c r="AZ51" i="14"/>
  <c r="AZ9" i="19" s="1"/>
  <c r="B247" i="14"/>
  <c r="B248" i="14"/>
  <c r="B249" i="14"/>
  <c r="AM91" i="17" l="1"/>
  <c r="AZ9" i="17"/>
  <c r="AZ10" i="17"/>
  <c r="BA51" i="14"/>
  <c r="BA9" i="19" s="1"/>
  <c r="BA52" i="14"/>
  <c r="BA10" i="19" s="1"/>
  <c r="B246" i="14"/>
  <c r="AN91" i="17" l="1"/>
  <c r="BA9" i="17"/>
  <c r="BA10" i="17"/>
  <c r="BB52" i="14"/>
  <c r="BB10" i="19" s="1"/>
  <c r="BB51" i="14"/>
  <c r="BB9" i="19" s="1"/>
  <c r="A238" i="14"/>
  <c r="A216" i="14"/>
  <c r="T214" i="14"/>
  <c r="U213" i="14"/>
  <c r="V213" i="14" s="1"/>
  <c r="W213" i="14" s="1"/>
  <c r="X213" i="14" s="1"/>
  <c r="Y213" i="14" s="1"/>
  <c r="Z213" i="14" s="1"/>
  <c r="AA213" i="14" s="1"/>
  <c r="AB213" i="14" s="1"/>
  <c r="AC213" i="14" s="1"/>
  <c r="AD213" i="14" s="1"/>
  <c r="AE213" i="14" s="1"/>
  <c r="AF213" i="14" s="1"/>
  <c r="AG213" i="14" s="1"/>
  <c r="AH213" i="14" s="1"/>
  <c r="AI213" i="14" s="1"/>
  <c r="AJ213" i="14" s="1"/>
  <c r="AK213" i="14" s="1"/>
  <c r="AL213" i="14" s="1"/>
  <c r="AM213" i="14" s="1"/>
  <c r="AN213" i="14" s="1"/>
  <c r="AO213" i="14" s="1"/>
  <c r="AP213" i="14" s="1"/>
  <c r="AQ213" i="14" s="1"/>
  <c r="AR213" i="14" s="1"/>
  <c r="AS213" i="14" s="1"/>
  <c r="AT213" i="14" s="1"/>
  <c r="AU213" i="14" s="1"/>
  <c r="AV213" i="14" s="1"/>
  <c r="AW213" i="14" s="1"/>
  <c r="AX213" i="14" s="1"/>
  <c r="AY213" i="14" s="1"/>
  <c r="AZ213" i="14" s="1"/>
  <c r="BA213" i="14" s="1"/>
  <c r="BB213" i="14" s="1"/>
  <c r="BC213" i="14" s="1"/>
  <c r="BD213" i="14" s="1"/>
  <c r="BE213" i="14" s="1"/>
  <c r="BF213" i="14" s="1"/>
  <c r="BG213" i="14" s="1"/>
  <c r="BH213" i="14" s="1"/>
  <c r="BI213" i="14" s="1"/>
  <c r="AC98" i="14"/>
  <c r="AB98" i="14"/>
  <c r="AC97" i="14"/>
  <c r="AB97" i="14"/>
  <c r="AC96" i="14"/>
  <c r="AB96" i="14"/>
  <c r="AC95" i="14"/>
  <c r="AB95" i="14"/>
  <c r="AC89" i="14"/>
  <c r="AB89" i="14"/>
  <c r="AC88" i="14"/>
  <c r="AB88" i="14"/>
  <c r="AC87" i="14"/>
  <c r="AB87" i="14"/>
  <c r="AC86" i="14"/>
  <c r="AB86" i="14"/>
  <c r="AC85" i="14"/>
  <c r="AB85" i="14"/>
  <c r="U56" i="14"/>
  <c r="V56" i="14" s="1"/>
  <c r="W56" i="14" s="1"/>
  <c r="X56" i="14" s="1"/>
  <c r="Y56" i="14" s="1"/>
  <c r="Z56" i="14" s="1"/>
  <c r="AA56" i="14" s="1"/>
  <c r="AB56" i="14" s="1"/>
  <c r="AC56" i="14" s="1"/>
  <c r="AD56" i="14" s="1"/>
  <c r="AE56" i="14" s="1"/>
  <c r="AF56" i="14" s="1"/>
  <c r="AG56" i="14" s="1"/>
  <c r="AH56" i="14" s="1"/>
  <c r="AI56" i="14" s="1"/>
  <c r="AJ56" i="14" s="1"/>
  <c r="AK56" i="14" s="1"/>
  <c r="AL56" i="14" s="1"/>
  <c r="AM56" i="14" s="1"/>
  <c r="AN56" i="14" s="1"/>
  <c r="AO56" i="14" s="1"/>
  <c r="AP56" i="14" s="1"/>
  <c r="AQ56" i="14" s="1"/>
  <c r="AR56" i="14" s="1"/>
  <c r="AS56" i="14" s="1"/>
  <c r="AT56" i="14" s="1"/>
  <c r="AU56" i="14" s="1"/>
  <c r="AV56" i="14" s="1"/>
  <c r="AW56" i="14" s="1"/>
  <c r="AX56" i="14" s="1"/>
  <c r="AY56" i="14" s="1"/>
  <c r="AZ56" i="14" s="1"/>
  <c r="BA56" i="14" s="1"/>
  <c r="BB56" i="14" s="1"/>
  <c r="BC56" i="14" s="1"/>
  <c r="BD56" i="14" s="1"/>
  <c r="BE56" i="14" s="1"/>
  <c r="BF56" i="14" s="1"/>
  <c r="BG56" i="14" s="1"/>
  <c r="BH56" i="14" s="1"/>
  <c r="BI56" i="14" s="1"/>
  <c r="BJ56" i="14" s="1"/>
  <c r="U49" i="14"/>
  <c r="V49" i="14" s="1"/>
  <c r="W49" i="14" s="1"/>
  <c r="X49" i="14" s="1"/>
  <c r="Y49" i="14" s="1"/>
  <c r="Z49" i="14" s="1"/>
  <c r="AA49" i="14" s="1"/>
  <c r="AB49" i="14" s="1"/>
  <c r="AC49" i="14" s="1"/>
  <c r="AD49" i="14" s="1"/>
  <c r="AE49" i="14" s="1"/>
  <c r="U52" i="14" s="1"/>
  <c r="U10" i="19" s="1"/>
  <c r="AA37" i="14"/>
  <c r="AY58" i="14" s="1"/>
  <c r="AY16" i="19" s="1"/>
  <c r="Z37" i="14"/>
  <c r="AE58" i="14" s="1"/>
  <c r="AE16" i="19" s="1"/>
  <c r="Y37" i="14"/>
  <c r="T58" i="14" s="1"/>
  <c r="T16" i="19" s="1"/>
  <c r="U37" i="14"/>
  <c r="AY53" i="14" s="1"/>
  <c r="AY11" i="19" s="1"/>
  <c r="T37" i="14"/>
  <c r="AE53" i="14" s="1"/>
  <c r="AE11" i="19" s="1"/>
  <c r="S37" i="14"/>
  <c r="T53" i="14" s="1"/>
  <c r="T11" i="19" s="1"/>
  <c r="AR28" i="14"/>
  <c r="AO28" i="14"/>
  <c r="AN28" i="14" s="1"/>
  <c r="AL28" i="14"/>
  <c r="AS26" i="14"/>
  <c r="AS27" i="14" s="1"/>
  <c r="AR27" i="14" s="1"/>
  <c r="AQ26" i="14"/>
  <c r="AQ27" i="14" s="1"/>
  <c r="AP26" i="14"/>
  <c r="AP27" i="14" s="1"/>
  <c r="AM26" i="14"/>
  <c r="AL26" i="14" s="1"/>
  <c r="AO25" i="14"/>
  <c r="AO24" i="14"/>
  <c r="W24" i="14"/>
  <c r="AO23" i="14"/>
  <c r="W23" i="14"/>
  <c r="AO22" i="14"/>
  <c r="W22" i="14"/>
  <c r="AO21" i="14"/>
  <c r="W21" i="14"/>
  <c r="AO20" i="14"/>
  <c r="W20" i="14"/>
  <c r="U34" i="14"/>
  <c r="AY50" i="14" s="1"/>
  <c r="T34" i="14"/>
  <c r="AE50" i="14" s="1"/>
  <c r="AO19" i="14"/>
  <c r="AA19" i="14"/>
  <c r="Z19" i="14"/>
  <c r="Y19" i="14"/>
  <c r="W19" i="14"/>
  <c r="A2" i="14"/>
  <c r="AO91" i="17" l="1"/>
  <c r="AE8" i="19"/>
  <c r="AE12" i="19" s="1"/>
  <c r="AY8" i="19"/>
  <c r="AY12" i="19" s="1"/>
  <c r="AC43" i="17"/>
  <c r="Y43" i="17" s="1"/>
  <c r="Y85" i="14"/>
  <c r="AC173" i="14"/>
  <c r="AC45" i="17"/>
  <c r="Y45" i="17" s="1"/>
  <c r="Y87" i="14"/>
  <c r="AC175" i="14"/>
  <c r="Y89" i="14"/>
  <c r="AC177" i="14"/>
  <c r="AC54" i="17"/>
  <c r="Y54" i="17" s="1"/>
  <c r="AC184" i="14"/>
  <c r="Y96" i="14"/>
  <c r="AC56" i="17"/>
  <c r="Y56" i="17" s="1"/>
  <c r="Y98" i="14"/>
  <c r="AC186" i="14"/>
  <c r="AB44" i="17"/>
  <c r="X44" i="17" s="1"/>
  <c r="AB174" i="14"/>
  <c r="X86" i="14"/>
  <c r="AB46" i="17"/>
  <c r="X46" i="17" s="1"/>
  <c r="X88" i="14"/>
  <c r="AB176" i="14"/>
  <c r="AB183" i="14"/>
  <c r="X95" i="14"/>
  <c r="AB55" i="17"/>
  <c r="X55" i="17" s="1"/>
  <c r="AB185" i="14"/>
  <c r="X97" i="14"/>
  <c r="AC46" i="17"/>
  <c r="Y46" i="17" s="1"/>
  <c r="AC176" i="14"/>
  <c r="Y88" i="14"/>
  <c r="AC44" i="17"/>
  <c r="Y44" i="17" s="1"/>
  <c r="Y86" i="14"/>
  <c r="AC174" i="14"/>
  <c r="Y95" i="14"/>
  <c r="AC183" i="14"/>
  <c r="AC55" i="17"/>
  <c r="Y55" i="17" s="1"/>
  <c r="Y97" i="14"/>
  <c r="AC185" i="14"/>
  <c r="AB43" i="17"/>
  <c r="X43" i="17" s="1"/>
  <c r="AB173" i="14"/>
  <c r="X85" i="14"/>
  <c r="AB45" i="17"/>
  <c r="X45" i="17" s="1"/>
  <c r="AB175" i="14"/>
  <c r="X87" i="14"/>
  <c r="AB177" i="14"/>
  <c r="X89" i="14"/>
  <c r="AB54" i="17"/>
  <c r="X54" i="17" s="1"/>
  <c r="X96" i="14"/>
  <c r="AB184" i="14"/>
  <c r="AB56" i="17"/>
  <c r="X56" i="17" s="1"/>
  <c r="X98" i="14"/>
  <c r="AB186" i="14"/>
  <c r="Q113" i="19"/>
  <c r="R113" i="19"/>
  <c r="R112" i="19"/>
  <c r="Q112" i="19"/>
  <c r="AE8" i="17"/>
  <c r="T11" i="17"/>
  <c r="AE16" i="17"/>
  <c r="BB9" i="17"/>
  <c r="AY8" i="17"/>
  <c r="AE11" i="17"/>
  <c r="AY16" i="17"/>
  <c r="BB10" i="17"/>
  <c r="AY11" i="17"/>
  <c r="U10" i="17"/>
  <c r="T16" i="17"/>
  <c r="AB53" i="17"/>
  <c r="X53" i="17" s="1"/>
  <c r="AC53" i="17"/>
  <c r="Y53" i="17" s="1"/>
  <c r="AB47" i="17"/>
  <c r="AC47" i="17"/>
  <c r="U53" i="14"/>
  <c r="U11" i="19" s="1"/>
  <c r="AF58" i="14"/>
  <c r="AF16" i="19" s="1"/>
  <c r="BC51" i="14"/>
  <c r="BC9" i="19" s="1"/>
  <c r="U58" i="14"/>
  <c r="U16" i="19" s="1"/>
  <c r="AZ53" i="14"/>
  <c r="AZ11" i="19" s="1"/>
  <c r="V52" i="14"/>
  <c r="V10" i="19" s="1"/>
  <c r="BC52" i="14"/>
  <c r="BC10" i="19" s="1"/>
  <c r="AE54" i="14"/>
  <c r="Z34" i="14"/>
  <c r="AE57" i="14" s="1"/>
  <c r="AE15" i="19" s="1"/>
  <c r="Z36" i="14"/>
  <c r="Y34" i="14"/>
  <c r="T57" i="14" s="1"/>
  <c r="T15" i="19" s="1"/>
  <c r="Y36" i="14"/>
  <c r="AA34" i="14"/>
  <c r="AY57" i="14" s="1"/>
  <c r="AY15" i="19" s="1"/>
  <c r="AA36" i="14"/>
  <c r="AF49" i="14"/>
  <c r="AG49" i="14" s="1"/>
  <c r="AH49" i="14" s="1"/>
  <c r="AI49" i="14" s="1"/>
  <c r="AJ49" i="14" s="1"/>
  <c r="AK49" i="14" s="1"/>
  <c r="AL49" i="14" s="1"/>
  <c r="AM49" i="14" s="1"/>
  <c r="AN49" i="14" s="1"/>
  <c r="AO49" i="14" s="1"/>
  <c r="AP49" i="14" s="1"/>
  <c r="AQ49" i="14" s="1"/>
  <c r="AR49" i="14" s="1"/>
  <c r="AS49" i="14" s="1"/>
  <c r="AT49" i="14" s="1"/>
  <c r="AU49" i="14" s="1"/>
  <c r="AV49" i="14" s="1"/>
  <c r="AW49" i="14" s="1"/>
  <c r="AX49" i="14" s="1"/>
  <c r="AY49" i="14" s="1"/>
  <c r="AZ50" i="14"/>
  <c r="AY54" i="14"/>
  <c r="AL24" i="14"/>
  <c r="AR21" i="14"/>
  <c r="AL25" i="14"/>
  <c r="S22" i="14"/>
  <c r="S35" i="14" s="1"/>
  <c r="AR22" i="14"/>
  <c r="AM27" i="14"/>
  <c r="AL27" i="14" s="1"/>
  <c r="AR19" i="14"/>
  <c r="AL21" i="14"/>
  <c r="AR25" i="14"/>
  <c r="AC92" i="14"/>
  <c r="AR20" i="14"/>
  <c r="AR23" i="14"/>
  <c r="AR24" i="14"/>
  <c r="AR26" i="14"/>
  <c r="Q239" i="14"/>
  <c r="T286" i="14" s="1"/>
  <c r="AZ58" i="14"/>
  <c r="AZ16" i="19" s="1"/>
  <c r="AB90" i="14"/>
  <c r="AL23" i="14"/>
  <c r="AL19" i="14"/>
  <c r="AL22" i="14"/>
  <c r="AL20" i="14"/>
  <c r="AB92" i="14"/>
  <c r="AB91" i="14"/>
  <c r="U215" i="14"/>
  <c r="AC94" i="14"/>
  <c r="AC90" i="14"/>
  <c r="AO26" i="14"/>
  <c r="AC91" i="14"/>
  <c r="AB94" i="14"/>
  <c r="AB93" i="14"/>
  <c r="AC93" i="14"/>
  <c r="Q242" i="14"/>
  <c r="Q240" i="14"/>
  <c r="Q238" i="14"/>
  <c r="Q237" i="14"/>
  <c r="Q241" i="14"/>
  <c r="AP91" i="17" l="1"/>
  <c r="AZ8" i="19"/>
  <c r="AY12" i="17"/>
  <c r="AX250" i="17"/>
  <c r="AE12" i="17"/>
  <c r="AD250" i="17"/>
  <c r="AZ12" i="19"/>
  <c r="Y257" i="14"/>
  <c r="X257" i="14"/>
  <c r="AB49" i="17"/>
  <c r="X49" i="17" s="1"/>
  <c r="AB179" i="14"/>
  <c r="X91" i="14"/>
  <c r="Q141" i="14"/>
  <c r="Q140" i="14"/>
  <c r="AB51" i="17"/>
  <c r="X51" i="17" s="1"/>
  <c r="AB181" i="14"/>
  <c r="X93" i="14"/>
  <c r="AB50" i="17"/>
  <c r="X50" i="17" s="1"/>
  <c r="X92" i="14"/>
  <c r="AB180" i="14"/>
  <c r="AC50" i="17"/>
  <c r="Y50" i="17" s="1"/>
  <c r="AC180" i="14"/>
  <c r="Y92" i="14"/>
  <c r="AB52" i="17"/>
  <c r="X52" i="17" s="1"/>
  <c r="X94" i="14"/>
  <c r="AB182" i="14"/>
  <c r="AC52" i="17"/>
  <c r="Y52" i="17" s="1"/>
  <c r="Y94" i="14"/>
  <c r="AC182" i="14"/>
  <c r="AB48" i="17"/>
  <c r="X48" i="17" s="1"/>
  <c r="X90" i="14"/>
  <c r="AB178" i="14"/>
  <c r="P141" i="14"/>
  <c r="P140" i="14"/>
  <c r="AC51" i="17"/>
  <c r="Y51" i="17" s="1"/>
  <c r="Y93" i="14"/>
  <c r="AC181" i="14"/>
  <c r="R141" i="14"/>
  <c r="R140" i="14"/>
  <c r="AC48" i="17"/>
  <c r="Y48" i="17" s="1"/>
  <c r="Y90" i="14"/>
  <c r="AC178" i="14"/>
  <c r="AC49" i="17"/>
  <c r="Y49" i="17" s="1"/>
  <c r="Y91" i="14"/>
  <c r="AC179" i="14"/>
  <c r="P137" i="14"/>
  <c r="P138" i="14"/>
  <c r="Q111" i="19"/>
  <c r="R111" i="19"/>
  <c r="P42" i="14"/>
  <c r="P43" i="14"/>
  <c r="P46" i="14"/>
  <c r="P45" i="14"/>
  <c r="T15" i="17"/>
  <c r="BC10" i="17"/>
  <c r="BC9" i="17"/>
  <c r="V10" i="17"/>
  <c r="AE15" i="17"/>
  <c r="AD251" i="17" s="1"/>
  <c r="AZ11" i="17"/>
  <c r="U11" i="17"/>
  <c r="AZ8" i="17"/>
  <c r="AZ16" i="17"/>
  <c r="AZ57" i="14"/>
  <c r="AZ15" i="19" s="1"/>
  <c r="AY15" i="17"/>
  <c r="AX251" i="17" s="1"/>
  <c r="V58" i="14"/>
  <c r="V16" i="19" s="1"/>
  <c r="U16" i="17"/>
  <c r="X226" i="17"/>
  <c r="X47" i="17"/>
  <c r="AG58" i="14"/>
  <c r="AG16" i="19" s="1"/>
  <c r="AF16" i="17"/>
  <c r="Y47" i="17"/>
  <c r="Y226" i="17"/>
  <c r="V53" i="14"/>
  <c r="V11" i="19" s="1"/>
  <c r="AF51" i="14"/>
  <c r="AF9" i="19" s="1"/>
  <c r="AF52" i="14"/>
  <c r="AF10" i="19" s="1"/>
  <c r="T59" i="14"/>
  <c r="U57" i="14"/>
  <c r="U15" i="19" s="1"/>
  <c r="BD51" i="14"/>
  <c r="BD9" i="19" s="1"/>
  <c r="BA53" i="14"/>
  <c r="BA11" i="19" s="1"/>
  <c r="AF53" i="14"/>
  <c r="AF11" i="19" s="1"/>
  <c r="AF50" i="14"/>
  <c r="BD52" i="14"/>
  <c r="BD10" i="19" s="1"/>
  <c r="BA50" i="14"/>
  <c r="AF57" i="14"/>
  <c r="AF15" i="19" s="1"/>
  <c r="W52" i="14"/>
  <c r="W10" i="19" s="1"/>
  <c r="T51" i="14"/>
  <c r="T9" i="19" s="1"/>
  <c r="AY59" i="14"/>
  <c r="AE59" i="14"/>
  <c r="AZ49" i="14"/>
  <c r="BA49" i="14" s="1"/>
  <c r="BB49" i="14" s="1"/>
  <c r="BC49" i="14" s="1"/>
  <c r="BD49" i="14" s="1"/>
  <c r="BE49" i="14" s="1"/>
  <c r="BF49" i="14" s="1"/>
  <c r="BG49" i="14" s="1"/>
  <c r="BH49" i="14" s="1"/>
  <c r="BI49" i="14" s="1"/>
  <c r="BJ49" i="14" s="1"/>
  <c r="AZ54" i="14"/>
  <c r="S34" i="14"/>
  <c r="T50" i="14" s="1"/>
  <c r="T8" i="19" s="1"/>
  <c r="V215" i="14"/>
  <c r="BA58" i="14"/>
  <c r="BA16" i="19" s="1"/>
  <c r="AN26" i="14"/>
  <c r="AN25" i="14"/>
  <c r="AN24" i="14"/>
  <c r="AN19" i="14"/>
  <c r="AN23" i="14"/>
  <c r="AN21" i="14"/>
  <c r="AN20" i="14"/>
  <c r="AN22" i="14"/>
  <c r="AO27" i="14"/>
  <c r="AN27" i="14" s="1"/>
  <c r="D39" i="37" l="1"/>
  <c r="D40" i="37" s="1"/>
  <c r="AQ91" i="17"/>
  <c r="BA8" i="19"/>
  <c r="BA12" i="19" s="1"/>
  <c r="AF8" i="19"/>
  <c r="AF12" i="19" s="1"/>
  <c r="AZ12" i="17"/>
  <c r="AY250" i="17"/>
  <c r="T153" i="14"/>
  <c r="AZ59" i="14"/>
  <c r="T154" i="14"/>
  <c r="R36" i="19"/>
  <c r="P36" i="19"/>
  <c r="Q36" i="19"/>
  <c r="T12" i="19"/>
  <c r="AF8" i="17"/>
  <c r="V11" i="17"/>
  <c r="AF11" i="17"/>
  <c r="W10" i="17"/>
  <c r="BA16" i="17"/>
  <c r="BA8" i="17"/>
  <c r="BA11" i="17"/>
  <c r="AF10" i="17"/>
  <c r="AZ15" i="17"/>
  <c r="AY251" i="17" s="1"/>
  <c r="BD10" i="17"/>
  <c r="BD9" i="17"/>
  <c r="AF9" i="17"/>
  <c r="BA57" i="14"/>
  <c r="U51" i="14"/>
  <c r="U9" i="19" s="1"/>
  <c r="T9" i="17"/>
  <c r="V57" i="14"/>
  <c r="V15" i="19" s="1"/>
  <c r="U15" i="17"/>
  <c r="T251" i="17" s="1"/>
  <c r="AH58" i="14"/>
  <c r="AH16" i="19" s="1"/>
  <c r="AG16" i="17"/>
  <c r="W58" i="14"/>
  <c r="W16" i="19" s="1"/>
  <c r="V16" i="17"/>
  <c r="AG57" i="14"/>
  <c r="AG15" i="19" s="1"/>
  <c r="AF15" i="17"/>
  <c r="AE251" i="17" s="1"/>
  <c r="U50" i="14"/>
  <c r="T8" i="17"/>
  <c r="BB50" i="14"/>
  <c r="AF54" i="14"/>
  <c r="X52" i="14"/>
  <c r="X10" i="19" s="1"/>
  <c r="BE52" i="14"/>
  <c r="BE10" i="19" s="1"/>
  <c r="BB53" i="14"/>
  <c r="BB11" i="19" s="1"/>
  <c r="AG51" i="14"/>
  <c r="AG9" i="19" s="1"/>
  <c r="BA54" i="14"/>
  <c r="AG50" i="14"/>
  <c r="BE51" i="14"/>
  <c r="BE9" i="19" s="1"/>
  <c r="AG53" i="14"/>
  <c r="AG11" i="19" s="1"/>
  <c r="W53" i="14"/>
  <c r="W11" i="19" s="1"/>
  <c r="AG52" i="14"/>
  <c r="AG10" i="19" s="1"/>
  <c r="AF59" i="14"/>
  <c r="U59" i="14"/>
  <c r="T54" i="14"/>
  <c r="W215" i="14"/>
  <c r="BB58" i="14"/>
  <c r="BB16" i="19" s="1"/>
  <c r="T58" i="8"/>
  <c r="S58" i="8"/>
  <c r="R58" i="8"/>
  <c r="Q58" i="8"/>
  <c r="P58" i="8"/>
  <c r="O58" i="8"/>
  <c r="N58" i="8"/>
  <c r="M58" i="8"/>
  <c r="L58" i="8"/>
  <c r="K58" i="8"/>
  <c r="J58" i="8"/>
  <c r="I58" i="8"/>
  <c r="H58" i="8"/>
  <c r="G58" i="8"/>
  <c r="F58" i="8"/>
  <c r="E58" i="8"/>
  <c r="D58" i="8"/>
  <c r="AY23" i="8"/>
  <c r="AY26" i="8" s="1"/>
  <c r="AX23" i="8"/>
  <c r="AX26" i="8" s="1"/>
  <c r="AW23" i="8"/>
  <c r="AW26" i="8" s="1"/>
  <c r="AV23" i="8"/>
  <c r="AV26" i="8" s="1"/>
  <c r="AU23" i="8"/>
  <c r="AU26" i="8" s="1"/>
  <c r="AT23" i="8"/>
  <c r="AT26" i="8" s="1"/>
  <c r="AS23" i="8"/>
  <c r="AS26" i="8" s="1"/>
  <c r="AR23" i="8"/>
  <c r="AR26" i="8" s="1"/>
  <c r="AQ23" i="8"/>
  <c r="AQ26" i="8" s="1"/>
  <c r="AP23" i="8"/>
  <c r="AP26" i="8" s="1"/>
  <c r="AO23" i="8"/>
  <c r="AO26" i="8" s="1"/>
  <c r="AN23" i="8"/>
  <c r="AN26" i="8" s="1"/>
  <c r="AM23" i="8"/>
  <c r="AM26" i="8" s="1"/>
  <c r="AL23" i="8"/>
  <c r="AL26" i="8" s="1"/>
  <c r="AK23" i="8"/>
  <c r="AK26" i="8" s="1"/>
  <c r="AJ23" i="8"/>
  <c r="AJ26" i="8" s="1"/>
  <c r="AI23" i="8"/>
  <c r="AI26" i="8" s="1"/>
  <c r="AH23" i="8"/>
  <c r="AH26" i="8" s="1"/>
  <c r="AG23" i="8"/>
  <c r="AG26" i="8" s="1"/>
  <c r="AF23" i="8"/>
  <c r="AF26" i="8" s="1"/>
  <c r="AE23" i="8"/>
  <c r="AE26" i="8" s="1"/>
  <c r="AD23" i="8"/>
  <c r="AD26" i="8" s="1"/>
  <c r="AC23" i="8"/>
  <c r="AC26" i="8" s="1"/>
  <c r="AB23" i="8"/>
  <c r="AB26" i="8" s="1"/>
  <c r="AA23" i="8"/>
  <c r="AA26" i="8" s="1"/>
  <c r="Z23" i="8"/>
  <c r="Z26" i="8" s="1"/>
  <c r="Y23" i="8"/>
  <c r="Y26" i="8" s="1"/>
  <c r="X23" i="8"/>
  <c r="X26" i="8" s="1"/>
  <c r="W23" i="8"/>
  <c r="W26" i="8" s="1"/>
  <c r="V23" i="8"/>
  <c r="U23" i="8"/>
  <c r="T23" i="8"/>
  <c r="S23" i="8"/>
  <c r="R23" i="8"/>
  <c r="Q23" i="8"/>
  <c r="T13" i="8"/>
  <c r="T16" i="8" s="1"/>
  <c r="T56" i="8" s="1"/>
  <c r="S13" i="8"/>
  <c r="S16" i="8" s="1"/>
  <c r="R13" i="8"/>
  <c r="R16" i="8" s="1"/>
  <c r="Q13" i="8"/>
  <c r="Q16" i="8" s="1"/>
  <c r="P13" i="8"/>
  <c r="P16" i="8" s="1"/>
  <c r="P56" i="8" s="1"/>
  <c r="O13" i="8"/>
  <c r="O16" i="8" s="1"/>
  <c r="N13" i="8"/>
  <c r="N16" i="8" s="1"/>
  <c r="M13" i="8"/>
  <c r="M16" i="8" s="1"/>
  <c r="L13" i="8"/>
  <c r="L16" i="8" s="1"/>
  <c r="L56" i="8" s="1"/>
  <c r="K13" i="8"/>
  <c r="K16" i="8" s="1"/>
  <c r="J13" i="8"/>
  <c r="J16" i="8" s="1"/>
  <c r="I13" i="8"/>
  <c r="I16" i="8" s="1"/>
  <c r="H13" i="8"/>
  <c r="H16" i="8" s="1"/>
  <c r="H56" i="8" s="1"/>
  <c r="G13" i="8"/>
  <c r="G16" i="8" s="1"/>
  <c r="F13" i="8"/>
  <c r="F16" i="8" s="1"/>
  <c r="E13" i="8"/>
  <c r="E16" i="8" s="1"/>
  <c r="D13" i="8"/>
  <c r="D16" i="8" s="1"/>
  <c r="D56" i="8" s="1"/>
  <c r="C13" i="8"/>
  <c r="C16" i="8" s="1"/>
  <c r="C1" i="8"/>
  <c r="D1" i="8" s="1"/>
  <c r="E1" i="8" s="1"/>
  <c r="F1" i="8" s="1"/>
  <c r="G1" i="8" s="1"/>
  <c r="H1" i="8" s="1"/>
  <c r="I1" i="8" s="1"/>
  <c r="J1" i="8" s="1"/>
  <c r="K1" i="8" s="1"/>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U51" i="37" l="1"/>
  <c r="U52" i="37" s="1"/>
  <c r="V51" i="37"/>
  <c r="V52" i="37" s="1"/>
  <c r="T51" i="37"/>
  <c r="T52" i="37" s="1"/>
  <c r="P51" i="37"/>
  <c r="P52" i="37" s="1"/>
  <c r="L51" i="37"/>
  <c r="L52" i="37" s="1"/>
  <c r="H51" i="37"/>
  <c r="H52" i="37" s="1"/>
  <c r="R51" i="37"/>
  <c r="R52" i="37" s="1"/>
  <c r="N51" i="37"/>
  <c r="N52" i="37" s="1"/>
  <c r="J51" i="37"/>
  <c r="J52" i="37" s="1"/>
  <c r="F51" i="37"/>
  <c r="F52" i="37" s="1"/>
  <c r="E51" i="37"/>
  <c r="E52" i="37" s="1"/>
  <c r="Q51" i="37"/>
  <c r="Q52" i="37" s="1"/>
  <c r="M51" i="37"/>
  <c r="M52" i="37" s="1"/>
  <c r="I51" i="37"/>
  <c r="I52" i="37" s="1"/>
  <c r="S51" i="37"/>
  <c r="S52" i="37" s="1"/>
  <c r="O51" i="37"/>
  <c r="O52" i="37" s="1"/>
  <c r="K51" i="37"/>
  <c r="K52" i="37" s="1"/>
  <c r="G51" i="37"/>
  <c r="G52" i="37" s="1"/>
  <c r="AR91" i="17"/>
  <c r="W61" i="8"/>
  <c r="W56" i="8"/>
  <c r="U8" i="19"/>
  <c r="U12" i="19" s="1"/>
  <c r="BB8" i="19"/>
  <c r="BB12" i="19" s="1"/>
  <c r="BA12" i="17"/>
  <c r="AZ250" i="17"/>
  <c r="AG8" i="19"/>
  <c r="AG12" i="19" s="1"/>
  <c r="AE250" i="17"/>
  <c r="T36" i="19"/>
  <c r="P101" i="19" s="1"/>
  <c r="V36" i="19"/>
  <c r="R101" i="19" s="1"/>
  <c r="U36" i="19"/>
  <c r="Q101" i="19" s="1"/>
  <c r="U186" i="14"/>
  <c r="U182" i="14"/>
  <c r="U178" i="14"/>
  <c r="U174" i="14"/>
  <c r="U180" i="14"/>
  <c r="U179" i="14"/>
  <c r="Y179" i="14" s="1"/>
  <c r="U185" i="14"/>
  <c r="U181" i="14"/>
  <c r="U177" i="14"/>
  <c r="U173" i="14"/>
  <c r="U176" i="14"/>
  <c r="U183" i="14"/>
  <c r="U184" i="14"/>
  <c r="U175" i="14"/>
  <c r="T184" i="14"/>
  <c r="X184" i="14" s="1"/>
  <c r="T180" i="14"/>
  <c r="X180" i="14" s="1"/>
  <c r="T176" i="14"/>
  <c r="X176" i="14" s="1"/>
  <c r="T186" i="14"/>
  <c r="X186" i="14" s="1"/>
  <c r="T178" i="14"/>
  <c r="X178" i="14" s="1"/>
  <c r="T183" i="14"/>
  <c r="X183" i="14" s="1"/>
  <c r="T179" i="14"/>
  <c r="U228" i="14" s="1"/>
  <c r="T175" i="14"/>
  <c r="X175" i="14" s="1"/>
  <c r="T182" i="14"/>
  <c r="X182" i="14" s="1"/>
  <c r="T185" i="14"/>
  <c r="X185" i="14" s="1"/>
  <c r="T173" i="14"/>
  <c r="X173" i="14" s="1"/>
  <c r="T174" i="14"/>
  <c r="X174" i="14" s="1"/>
  <c r="T181" i="14"/>
  <c r="X181" i="14" s="1"/>
  <c r="T177" i="14"/>
  <c r="X177" i="14" s="1"/>
  <c r="E56" i="8"/>
  <c r="E61" i="8"/>
  <c r="J56" i="8"/>
  <c r="J61" i="8"/>
  <c r="AA61" i="8"/>
  <c r="AA56" i="8"/>
  <c r="AE61" i="8"/>
  <c r="AE56" i="8"/>
  <c r="AI61" i="8"/>
  <c r="AI56" i="8"/>
  <c r="AM61" i="8"/>
  <c r="AM56" i="8"/>
  <c r="AQ61" i="8"/>
  <c r="AQ56" i="8"/>
  <c r="AU61" i="8"/>
  <c r="AU56" i="8"/>
  <c r="AY61" i="8"/>
  <c r="AY56" i="8"/>
  <c r="M56" i="8"/>
  <c r="M61" i="8"/>
  <c r="Q56" i="8"/>
  <c r="Q61" i="8"/>
  <c r="X56" i="8"/>
  <c r="X61" i="8"/>
  <c r="AB56" i="8"/>
  <c r="AB61" i="8"/>
  <c r="AF56" i="8"/>
  <c r="AF61" i="8"/>
  <c r="AJ56" i="8"/>
  <c r="AJ61" i="8"/>
  <c r="AN56" i="8"/>
  <c r="AN61" i="8"/>
  <c r="AR56" i="8"/>
  <c r="AR61" i="8"/>
  <c r="AV56" i="8"/>
  <c r="AV61" i="8"/>
  <c r="AY24" i="8"/>
  <c r="AZ22" i="8" s="1"/>
  <c r="AZ1" i="8"/>
  <c r="BA1" i="8" s="1"/>
  <c r="BB1" i="8" s="1"/>
  <c r="BC1" i="8" s="1"/>
  <c r="BD1" i="8" s="1"/>
  <c r="BE1" i="8" s="1"/>
  <c r="BF1" i="8" s="1"/>
  <c r="BG1" i="8" s="1"/>
  <c r="BH1" i="8" s="1"/>
  <c r="BI1" i="8" s="1"/>
  <c r="N56" i="8"/>
  <c r="N61" i="8"/>
  <c r="R56" i="8"/>
  <c r="R61" i="8"/>
  <c r="Y56" i="8"/>
  <c r="Y61" i="8"/>
  <c r="AC56" i="8"/>
  <c r="AC61" i="8"/>
  <c r="AG56" i="8"/>
  <c r="AG61" i="8"/>
  <c r="AK56" i="8"/>
  <c r="AK61" i="8"/>
  <c r="AO56" i="8"/>
  <c r="AO61" i="8"/>
  <c r="AS56" i="8"/>
  <c r="AS61" i="8"/>
  <c r="AW56" i="8"/>
  <c r="AW61" i="8"/>
  <c r="I56" i="8"/>
  <c r="I61" i="8"/>
  <c r="F56" i="8"/>
  <c r="F61" i="8"/>
  <c r="G61" i="8"/>
  <c r="G56" i="8"/>
  <c r="K61" i="8"/>
  <c r="K56" i="8"/>
  <c r="O61" i="8"/>
  <c r="O56" i="8"/>
  <c r="S61" i="8"/>
  <c r="S56" i="8"/>
  <c r="Z56" i="8"/>
  <c r="Z61" i="8"/>
  <c r="AD56" i="8"/>
  <c r="AD61" i="8"/>
  <c r="AH56" i="8"/>
  <c r="AH61" i="8"/>
  <c r="AL56" i="8"/>
  <c r="AL61" i="8"/>
  <c r="AP56" i="8"/>
  <c r="AP61" i="8"/>
  <c r="AT56" i="8"/>
  <c r="AT61" i="8"/>
  <c r="AX56" i="8"/>
  <c r="AX61" i="8"/>
  <c r="D61" i="8"/>
  <c r="H61" i="8"/>
  <c r="L61" i="8"/>
  <c r="P61" i="8"/>
  <c r="T61" i="8"/>
  <c r="BA59" i="14"/>
  <c r="BA15" i="19"/>
  <c r="BB57" i="14"/>
  <c r="AF12" i="17"/>
  <c r="T12" i="17"/>
  <c r="W11" i="17"/>
  <c r="X10" i="17"/>
  <c r="U8" i="17"/>
  <c r="T250" i="17" s="1"/>
  <c r="AG11" i="17"/>
  <c r="AG9" i="17"/>
  <c r="BE9" i="17"/>
  <c r="BB8" i="17"/>
  <c r="AG59" i="14"/>
  <c r="BA15" i="17"/>
  <c r="AZ251" i="17" s="1"/>
  <c r="BB16" i="17"/>
  <c r="AG10" i="17"/>
  <c r="AG8" i="17"/>
  <c r="AF250" i="17" s="1"/>
  <c r="BE10" i="17"/>
  <c r="U9" i="17"/>
  <c r="V50" i="14"/>
  <c r="U54" i="14"/>
  <c r="V51" i="14"/>
  <c r="AH57" i="14"/>
  <c r="AH15" i="19" s="1"/>
  <c r="AG15" i="17"/>
  <c r="AF251" i="17" s="1"/>
  <c r="X58" i="14"/>
  <c r="X16" i="19" s="1"/>
  <c r="W16" i="17"/>
  <c r="W57" i="14"/>
  <c r="W15" i="19" s="1"/>
  <c r="V15" i="17"/>
  <c r="U251" i="17" s="1"/>
  <c r="BB54" i="14"/>
  <c r="BB11" i="17"/>
  <c r="AI58" i="14"/>
  <c r="AI16" i="19" s="1"/>
  <c r="AH16" i="17"/>
  <c r="BC50" i="14"/>
  <c r="AG54" i="14"/>
  <c r="X53" i="14"/>
  <c r="X11" i="19" s="1"/>
  <c r="BF51" i="14"/>
  <c r="BF9" i="19" s="1"/>
  <c r="BF52" i="14"/>
  <c r="BF10" i="19" s="1"/>
  <c r="AH50" i="14"/>
  <c r="Y52" i="14"/>
  <c r="Y10" i="19" s="1"/>
  <c r="AH52" i="14"/>
  <c r="AH10" i="19" s="1"/>
  <c r="AH51" i="14"/>
  <c r="AH9" i="19" s="1"/>
  <c r="AH53" i="14"/>
  <c r="AH11" i="19" s="1"/>
  <c r="BC53" i="14"/>
  <c r="BC11" i="19" s="1"/>
  <c r="V59" i="14"/>
  <c r="X215" i="14"/>
  <c r="BC58" i="14"/>
  <c r="BC16" i="19" s="1"/>
  <c r="C52" i="37" l="1"/>
  <c r="C51" i="37"/>
  <c r="AS91" i="17"/>
  <c r="T311" i="14"/>
  <c r="T302" i="14"/>
  <c r="T308" i="14"/>
  <c r="T309" i="14"/>
  <c r="T305" i="14"/>
  <c r="Y184" i="14"/>
  <c r="T326" i="14"/>
  <c r="U326" i="14"/>
  <c r="V326" i="14"/>
  <c r="Y177" i="14"/>
  <c r="T319" i="14"/>
  <c r="U319" i="14"/>
  <c r="V319" i="14"/>
  <c r="Y186" i="14"/>
  <c r="T328" i="14"/>
  <c r="U328" i="14"/>
  <c r="V328" i="14"/>
  <c r="T303" i="14"/>
  <c r="Y174" i="14"/>
  <c r="T316" i="14"/>
  <c r="U316" i="14"/>
  <c r="V316" i="14"/>
  <c r="Y176" i="14"/>
  <c r="T318" i="14"/>
  <c r="U318" i="14"/>
  <c r="V318" i="14"/>
  <c r="Y185" i="14"/>
  <c r="T327" i="14"/>
  <c r="U327" i="14"/>
  <c r="V327" i="14"/>
  <c r="Y178" i="14"/>
  <c r="T320" i="14"/>
  <c r="U320" i="14"/>
  <c r="V320" i="14"/>
  <c r="T304" i="14"/>
  <c r="T307" i="14"/>
  <c r="T313" i="14"/>
  <c r="Y180" i="14"/>
  <c r="T322" i="14"/>
  <c r="U322" i="14"/>
  <c r="V322" i="14"/>
  <c r="Y183" i="14"/>
  <c r="T325" i="14"/>
  <c r="U325" i="14"/>
  <c r="V325" i="14"/>
  <c r="Y181" i="14"/>
  <c r="T323" i="14"/>
  <c r="U323" i="14"/>
  <c r="V323" i="14"/>
  <c r="T300" i="14"/>
  <c r="T310" i="14"/>
  <c r="Y175" i="14"/>
  <c r="T317" i="14"/>
  <c r="U317" i="14"/>
  <c r="V317" i="14"/>
  <c r="Y173" i="14"/>
  <c r="T315" i="14"/>
  <c r="U315" i="14"/>
  <c r="V315" i="14"/>
  <c r="T321" i="14"/>
  <c r="U321" i="14"/>
  <c r="V321" i="14"/>
  <c r="Y182" i="14"/>
  <c r="T324" i="14"/>
  <c r="U324" i="14"/>
  <c r="V324" i="14"/>
  <c r="T306" i="14"/>
  <c r="T312" i="14"/>
  <c r="T301" i="14"/>
  <c r="BB12" i="17"/>
  <c r="BA250" i="17"/>
  <c r="AH8" i="19"/>
  <c r="AH12" i="19" s="1"/>
  <c r="BB59" i="14"/>
  <c r="X228" i="14"/>
  <c r="W228" i="14"/>
  <c r="T228" i="14"/>
  <c r="X179" i="14"/>
  <c r="V228" i="14"/>
  <c r="R63" i="8"/>
  <c r="R61" i="16"/>
  <c r="S61" i="16" s="1"/>
  <c r="T61" i="16" s="1"/>
  <c r="U61" i="16" s="1"/>
  <c r="V61" i="16" s="1"/>
  <c r="R57" i="16"/>
  <c r="S57" i="16" s="1"/>
  <c r="T57" i="16" s="1"/>
  <c r="U57" i="16" s="1"/>
  <c r="V57" i="16" s="1"/>
  <c r="W57" i="16" s="1"/>
  <c r="X57" i="16" s="1"/>
  <c r="Y57" i="16" s="1"/>
  <c r="Z57" i="16" s="1"/>
  <c r="AA57" i="16" s="1"/>
  <c r="AB57" i="16" s="1"/>
  <c r="AC57" i="16" s="1"/>
  <c r="AD57" i="16" s="1"/>
  <c r="AE57" i="16" s="1"/>
  <c r="AF57" i="16" s="1"/>
  <c r="AG57" i="16" s="1"/>
  <c r="AH57" i="16" s="1"/>
  <c r="AI57" i="16" s="1"/>
  <c r="AJ57" i="16" s="1"/>
  <c r="AK57" i="16" s="1"/>
  <c r="AL57" i="16" s="1"/>
  <c r="AM57" i="16" s="1"/>
  <c r="AN57" i="16" s="1"/>
  <c r="AO57" i="16" s="1"/>
  <c r="AP57" i="16" s="1"/>
  <c r="AQ57" i="16" s="1"/>
  <c r="AR57" i="16" s="1"/>
  <c r="AS57" i="16" s="1"/>
  <c r="AT57" i="16" s="1"/>
  <c r="AU57" i="16" s="1"/>
  <c r="AV57" i="16" s="1"/>
  <c r="AW57" i="16" s="1"/>
  <c r="AX57" i="16" s="1"/>
  <c r="AY57" i="16" s="1"/>
  <c r="R53" i="16"/>
  <c r="S53" i="16" s="1"/>
  <c r="T53" i="16" s="1"/>
  <c r="U53" i="16" s="1"/>
  <c r="V53" i="16" s="1"/>
  <c r="W53" i="16" s="1"/>
  <c r="X53" i="16" s="1"/>
  <c r="Y53" i="16" s="1"/>
  <c r="Z53" i="16" s="1"/>
  <c r="AA53" i="16" s="1"/>
  <c r="AB53" i="16" s="1"/>
  <c r="AC53" i="16" s="1"/>
  <c r="AD53" i="16" s="1"/>
  <c r="AE53" i="16" s="1"/>
  <c r="AF53" i="16" s="1"/>
  <c r="AG53" i="16" s="1"/>
  <c r="AH53" i="16" s="1"/>
  <c r="AI53" i="16" s="1"/>
  <c r="AJ53" i="16" s="1"/>
  <c r="AK53" i="16" s="1"/>
  <c r="AL53" i="16" s="1"/>
  <c r="AM53" i="16" s="1"/>
  <c r="AN53" i="16" s="1"/>
  <c r="AO53" i="16" s="1"/>
  <c r="AP53" i="16" s="1"/>
  <c r="AQ53" i="16" s="1"/>
  <c r="AR53" i="16" s="1"/>
  <c r="AS53" i="16" s="1"/>
  <c r="AT53" i="16" s="1"/>
  <c r="AU53" i="16" s="1"/>
  <c r="AV53" i="16" s="1"/>
  <c r="AW53" i="16" s="1"/>
  <c r="AX53" i="16" s="1"/>
  <c r="AY53" i="16" s="1"/>
  <c r="R56" i="16"/>
  <c r="S56" i="16" s="1"/>
  <c r="T56" i="16" s="1"/>
  <c r="U56" i="16" s="1"/>
  <c r="V56" i="16" s="1"/>
  <c r="R60" i="16"/>
  <c r="S60" i="16" s="1"/>
  <c r="T60" i="16" s="1"/>
  <c r="U60" i="16" s="1"/>
  <c r="V60" i="16" s="1"/>
  <c r="W60" i="16" s="1"/>
  <c r="X60" i="16" s="1"/>
  <c r="Y60" i="16" s="1"/>
  <c r="Z60" i="16" s="1"/>
  <c r="AA60" i="16" s="1"/>
  <c r="AB60" i="16" s="1"/>
  <c r="AC60" i="16" s="1"/>
  <c r="AD60" i="16" s="1"/>
  <c r="AE60" i="16" s="1"/>
  <c r="AF60" i="16" s="1"/>
  <c r="AG60" i="16" s="1"/>
  <c r="AH60" i="16" s="1"/>
  <c r="AI60" i="16" s="1"/>
  <c r="AJ60" i="16" s="1"/>
  <c r="AK60" i="16" s="1"/>
  <c r="AL60" i="16" s="1"/>
  <c r="AM60" i="16" s="1"/>
  <c r="AN60" i="16" s="1"/>
  <c r="AO60" i="16" s="1"/>
  <c r="AP60" i="16" s="1"/>
  <c r="AQ60" i="16" s="1"/>
  <c r="AR60" i="16" s="1"/>
  <c r="AS60" i="16" s="1"/>
  <c r="AT60" i="16" s="1"/>
  <c r="AU60" i="16" s="1"/>
  <c r="AV60" i="16" s="1"/>
  <c r="AW60" i="16" s="1"/>
  <c r="AX60" i="16" s="1"/>
  <c r="AY60" i="16" s="1"/>
  <c r="R55" i="16"/>
  <c r="S55" i="16" s="1"/>
  <c r="T55" i="16" s="1"/>
  <c r="U55" i="16" s="1"/>
  <c r="V55" i="16" s="1"/>
  <c r="E126" i="37" s="1"/>
  <c r="R54" i="16"/>
  <c r="S54" i="16" s="1"/>
  <c r="T54" i="16" s="1"/>
  <c r="U54" i="16" s="1"/>
  <c r="R59" i="16"/>
  <c r="S59" i="16" s="1"/>
  <c r="T59" i="16" s="1"/>
  <c r="U59" i="16" s="1"/>
  <c r="V59" i="16" s="1"/>
  <c r="W59" i="16" s="1"/>
  <c r="X59" i="16" s="1"/>
  <c r="Y59" i="16" s="1"/>
  <c r="Z59" i="16" s="1"/>
  <c r="AA59" i="16" s="1"/>
  <c r="AB59" i="16" s="1"/>
  <c r="AC59" i="16" s="1"/>
  <c r="AD59" i="16" s="1"/>
  <c r="AE59" i="16" s="1"/>
  <c r="AF59" i="16" s="1"/>
  <c r="AG59" i="16" s="1"/>
  <c r="AH59" i="16" s="1"/>
  <c r="AI59" i="16" s="1"/>
  <c r="AJ59" i="16" s="1"/>
  <c r="AK59" i="16" s="1"/>
  <c r="AL59" i="16" s="1"/>
  <c r="AM59" i="16" s="1"/>
  <c r="AN59" i="16" s="1"/>
  <c r="AO59" i="16" s="1"/>
  <c r="AP59" i="16" s="1"/>
  <c r="AQ59" i="16" s="1"/>
  <c r="AR59" i="16" s="1"/>
  <c r="AS59" i="16" s="1"/>
  <c r="AT59" i="16" s="1"/>
  <c r="AU59" i="16" s="1"/>
  <c r="AV59" i="16" s="1"/>
  <c r="AW59" i="16" s="1"/>
  <c r="AX59" i="16" s="1"/>
  <c r="AY59" i="16" s="1"/>
  <c r="R58" i="16"/>
  <c r="S58" i="16" s="1"/>
  <c r="T58" i="16" s="1"/>
  <c r="U58" i="16" s="1"/>
  <c r="V58" i="16" s="1"/>
  <c r="W58" i="16" s="1"/>
  <c r="X58" i="16" s="1"/>
  <c r="Y58" i="16" s="1"/>
  <c r="Z58" i="16" s="1"/>
  <c r="AA58" i="16" s="1"/>
  <c r="AB58" i="16" s="1"/>
  <c r="AC58" i="16" s="1"/>
  <c r="AD58" i="16" s="1"/>
  <c r="AE58" i="16" s="1"/>
  <c r="AF58" i="16" s="1"/>
  <c r="AG58" i="16" s="1"/>
  <c r="AH58" i="16" s="1"/>
  <c r="AI58" i="16" s="1"/>
  <c r="AJ58" i="16" s="1"/>
  <c r="AK58" i="16" s="1"/>
  <c r="AL58" i="16" s="1"/>
  <c r="AM58" i="16" s="1"/>
  <c r="AN58" i="16" s="1"/>
  <c r="AO58" i="16" s="1"/>
  <c r="AP58" i="16" s="1"/>
  <c r="AQ58" i="16" s="1"/>
  <c r="AR58" i="16" s="1"/>
  <c r="AS58" i="16" s="1"/>
  <c r="AT58" i="16" s="1"/>
  <c r="AU58" i="16" s="1"/>
  <c r="AV58" i="16" s="1"/>
  <c r="AW58" i="16" s="1"/>
  <c r="AX58" i="16" s="1"/>
  <c r="AY58" i="16" s="1"/>
  <c r="S63" i="8"/>
  <c r="AZ23" i="8"/>
  <c r="AZ26" i="8" s="1"/>
  <c r="BA22" i="8"/>
  <c r="W50" i="14"/>
  <c r="V8" i="19"/>
  <c r="W51" i="14"/>
  <c r="W9" i="19" s="1"/>
  <c r="V9" i="19"/>
  <c r="BC57" i="14"/>
  <c r="BB15" i="19"/>
  <c r="BD50" i="14"/>
  <c r="BC8" i="19"/>
  <c r="BB15" i="17"/>
  <c r="BA251" i="17" s="1"/>
  <c r="V54" i="14"/>
  <c r="U12" i="17"/>
  <c r="AG12" i="17"/>
  <c r="BC16" i="17"/>
  <c r="AH9" i="17"/>
  <c r="AH8" i="17"/>
  <c r="X11" i="17"/>
  <c r="W59" i="14"/>
  <c r="AH59" i="14"/>
  <c r="V9" i="17"/>
  <c r="AH10" i="17"/>
  <c r="BF10" i="17"/>
  <c r="AH11" i="17"/>
  <c r="Y10" i="17"/>
  <c r="BF9" i="17"/>
  <c r="BC8" i="17"/>
  <c r="V8" i="17"/>
  <c r="U250" i="17" s="1"/>
  <c r="Y58" i="14"/>
  <c r="Y16" i="19" s="1"/>
  <c r="X16" i="17"/>
  <c r="BC54" i="14"/>
  <c r="BC11" i="17"/>
  <c r="AJ58" i="14"/>
  <c r="AJ16" i="19" s="1"/>
  <c r="AI16" i="17"/>
  <c r="X57" i="14"/>
  <c r="W322" i="14" s="1"/>
  <c r="W15" i="17"/>
  <c r="V251" i="17" s="1"/>
  <c r="AI57" i="14"/>
  <c r="AI15" i="19" s="1"/>
  <c r="AH15" i="17"/>
  <c r="AG251" i="17" s="1"/>
  <c r="Z52" i="14"/>
  <c r="Z10" i="19" s="1"/>
  <c r="AI53" i="14"/>
  <c r="AI11" i="19" s="1"/>
  <c r="BG51" i="14"/>
  <c r="BG9" i="19" s="1"/>
  <c r="BD53" i="14"/>
  <c r="BD11" i="19" s="1"/>
  <c r="BG52" i="14"/>
  <c r="BG10" i="19" s="1"/>
  <c r="Y53" i="14"/>
  <c r="Y11" i="19" s="1"/>
  <c r="AH54" i="14"/>
  <c r="AI51" i="14"/>
  <c r="AI9" i="19" s="1"/>
  <c r="AI52" i="14"/>
  <c r="AI10" i="19" s="1"/>
  <c r="AI50" i="14"/>
  <c r="Y215" i="14"/>
  <c r="BD58" i="14"/>
  <c r="BD16" i="19" s="1"/>
  <c r="E30" i="37" l="1"/>
  <c r="E29" i="37"/>
  <c r="E49" i="37"/>
  <c r="W55" i="16"/>
  <c r="F126" i="37" s="1"/>
  <c r="W61" i="16"/>
  <c r="E129" i="37"/>
  <c r="E208" i="37" s="1"/>
  <c r="W56" i="16"/>
  <c r="F29" i="37" s="1"/>
  <c r="V54" i="16"/>
  <c r="E28" i="37" s="1"/>
  <c r="AT91" i="17"/>
  <c r="W327" i="14"/>
  <c r="W318" i="14"/>
  <c r="W328" i="14"/>
  <c r="W326" i="14"/>
  <c r="X15" i="19"/>
  <c r="W324" i="14"/>
  <c r="W320" i="14"/>
  <c r="W315" i="14"/>
  <c r="W316" i="14"/>
  <c r="W325" i="14"/>
  <c r="W321" i="14"/>
  <c r="W323" i="14"/>
  <c r="W319" i="14"/>
  <c r="W317" i="14"/>
  <c r="Y228" i="14"/>
  <c r="AG250" i="17"/>
  <c r="W8" i="19"/>
  <c r="BC12" i="17"/>
  <c r="BB250" i="17"/>
  <c r="BD8" i="19"/>
  <c r="BD12" i="19" s="1"/>
  <c r="BC15" i="19"/>
  <c r="AI8" i="19"/>
  <c r="AI12" i="19" s="1"/>
  <c r="BC12" i="19"/>
  <c r="C37" i="28"/>
  <c r="R96" i="19"/>
  <c r="W8" i="17"/>
  <c r="V250" i="17" s="1"/>
  <c r="W54" i="14"/>
  <c r="BD57" i="14"/>
  <c r="BC59" i="14"/>
  <c r="BC15" i="17"/>
  <c r="BB251" i="17" s="1"/>
  <c r="X50" i="14"/>
  <c r="T63" i="8"/>
  <c r="U63" i="8" s="1"/>
  <c r="V63" i="8" s="1"/>
  <c r="S96" i="19"/>
  <c r="D37" i="28"/>
  <c r="AZ56" i="8"/>
  <c r="AZ61" i="8"/>
  <c r="BA23" i="8"/>
  <c r="BA26" i="8" s="1"/>
  <c r="BB22" i="8"/>
  <c r="AZ59" i="16"/>
  <c r="X59" i="14"/>
  <c r="V12" i="19"/>
  <c r="X51" i="14"/>
  <c r="X9" i="19" s="1"/>
  <c r="BD8" i="17"/>
  <c r="BE50" i="14"/>
  <c r="W9" i="17"/>
  <c r="V12" i="17"/>
  <c r="AH12" i="17"/>
  <c r="AI9" i="17"/>
  <c r="Z10" i="17"/>
  <c r="AI10" i="17"/>
  <c r="BD16" i="17"/>
  <c r="BG9" i="17"/>
  <c r="BG10" i="17"/>
  <c r="AI8" i="17"/>
  <c r="Y11" i="17"/>
  <c r="AI11" i="17"/>
  <c r="AJ57" i="14"/>
  <c r="AJ15" i="19" s="1"/>
  <c r="AI15" i="17"/>
  <c r="AH251" i="17" s="1"/>
  <c r="AK58" i="14"/>
  <c r="AK16" i="19" s="1"/>
  <c r="AJ16" i="17"/>
  <c r="BD54" i="14"/>
  <c r="BD11" i="17"/>
  <c r="AI59" i="14"/>
  <c r="Y57" i="14"/>
  <c r="X15" i="17"/>
  <c r="W251" i="17" s="1"/>
  <c r="Z58" i="14"/>
  <c r="Z16" i="19" s="1"/>
  <c r="Y16" i="17"/>
  <c r="BH52" i="14"/>
  <c r="BH10" i="19" s="1"/>
  <c r="BH51" i="14"/>
  <c r="BH9" i="19" s="1"/>
  <c r="AJ52" i="14"/>
  <c r="AJ10" i="19" s="1"/>
  <c r="Z53" i="14"/>
  <c r="Z11" i="19" s="1"/>
  <c r="BE53" i="14"/>
  <c r="BE11" i="19" s="1"/>
  <c r="AJ53" i="14"/>
  <c r="AJ11" i="19" s="1"/>
  <c r="AA52" i="14"/>
  <c r="AA10" i="19" s="1"/>
  <c r="AI54" i="14"/>
  <c r="AJ50" i="14"/>
  <c r="AJ51" i="14"/>
  <c r="AJ9" i="19" s="1"/>
  <c r="Z215" i="14"/>
  <c r="BE58" i="14"/>
  <c r="BE16" i="19" s="1"/>
  <c r="E47" i="37" l="1"/>
  <c r="E34" i="37"/>
  <c r="E35" i="37" s="1"/>
  <c r="F30" i="37"/>
  <c r="F49" i="37" s="1"/>
  <c r="E205" i="37"/>
  <c r="X55" i="16"/>
  <c r="G126" i="37" s="1"/>
  <c r="E127" i="37"/>
  <c r="E128" i="37"/>
  <c r="E207" i="37" s="1"/>
  <c r="E48" i="37"/>
  <c r="X61" i="16"/>
  <c r="W54" i="16"/>
  <c r="F28" i="37" s="1"/>
  <c r="X56" i="16"/>
  <c r="G29" i="37" s="1"/>
  <c r="AU91" i="17"/>
  <c r="X320" i="14"/>
  <c r="X322" i="14"/>
  <c r="X321" i="14"/>
  <c r="X318" i="14"/>
  <c r="X327" i="14"/>
  <c r="X316" i="14"/>
  <c r="X315" i="14"/>
  <c r="X319" i="14"/>
  <c r="X328" i="14"/>
  <c r="X323" i="14"/>
  <c r="X326" i="14"/>
  <c r="X317" i="14"/>
  <c r="X324" i="14"/>
  <c r="X325" i="14"/>
  <c r="X8" i="17"/>
  <c r="W250" i="17" s="1"/>
  <c r="V96" i="19"/>
  <c r="W63" i="8"/>
  <c r="G37" i="28"/>
  <c r="Y15" i="19"/>
  <c r="AH250" i="17"/>
  <c r="W12" i="19"/>
  <c r="X8" i="19"/>
  <c r="X12" i="19" s="1"/>
  <c r="AJ8" i="19"/>
  <c r="AJ12" i="19" s="1"/>
  <c r="BD12" i="17"/>
  <c r="BC250" i="17"/>
  <c r="BD15" i="19"/>
  <c r="BE8" i="19"/>
  <c r="BE12" i="19" s="1"/>
  <c r="Z228" i="14"/>
  <c r="Y50" i="14"/>
  <c r="X54" i="14"/>
  <c r="F37" i="28"/>
  <c r="U96" i="19"/>
  <c r="AZ58" i="16"/>
  <c r="AZ60" i="16"/>
  <c r="AZ57" i="16"/>
  <c r="Y51" i="14"/>
  <c r="Y9" i="19" s="1"/>
  <c r="X9" i="17"/>
  <c r="BD15" i="17"/>
  <c r="BC251" i="17" s="1"/>
  <c r="BF50" i="14"/>
  <c r="BE8" i="17"/>
  <c r="BE57" i="14"/>
  <c r="BD59" i="14"/>
  <c r="T96" i="19"/>
  <c r="E37" i="28"/>
  <c r="BA56" i="8"/>
  <c r="BA61" i="8"/>
  <c r="BB23" i="8"/>
  <c r="BB26" i="8" s="1"/>
  <c r="BC22" i="8"/>
  <c r="AZ53" i="16"/>
  <c r="W12" i="17"/>
  <c r="AI12" i="17"/>
  <c r="AJ8" i="17"/>
  <c r="Y59" i="14"/>
  <c r="BE16" i="17"/>
  <c r="AJ11" i="17"/>
  <c r="Z11" i="17"/>
  <c r="BH9" i="17"/>
  <c r="AJ9" i="17"/>
  <c r="AJ59" i="14"/>
  <c r="AA10" i="17"/>
  <c r="AJ10" i="17"/>
  <c r="BH10" i="17"/>
  <c r="BE54" i="14"/>
  <c r="BE11" i="17"/>
  <c r="AL58" i="14"/>
  <c r="AL16" i="19" s="1"/>
  <c r="AK16" i="17"/>
  <c r="AA58" i="14"/>
  <c r="AA16" i="19" s="1"/>
  <c r="Z16" i="17"/>
  <c r="Z57" i="14"/>
  <c r="Y15" i="17"/>
  <c r="X251" i="17" s="1"/>
  <c r="AK57" i="14"/>
  <c r="AK15" i="19" s="1"/>
  <c r="AJ15" i="17"/>
  <c r="AI251" i="17" s="1"/>
  <c r="AA53" i="14"/>
  <c r="AA11" i="19" s="1"/>
  <c r="AK51" i="14"/>
  <c r="AK9" i="19" s="1"/>
  <c r="BI51" i="14"/>
  <c r="AK53" i="14"/>
  <c r="AK11" i="19" s="1"/>
  <c r="AB52" i="14"/>
  <c r="AB10" i="19" s="1"/>
  <c r="BF53" i="14"/>
  <c r="BF11" i="19" s="1"/>
  <c r="AJ54" i="14"/>
  <c r="AK50" i="14"/>
  <c r="AK52" i="14"/>
  <c r="AK10" i="19" s="1"/>
  <c r="BI52" i="14"/>
  <c r="AA215" i="14"/>
  <c r="BF58" i="14"/>
  <c r="BF16" i="19" s="1"/>
  <c r="F129" i="37" l="1"/>
  <c r="F208" i="37" s="1"/>
  <c r="G30" i="37"/>
  <c r="G49" i="37" s="1"/>
  <c r="E206" i="37"/>
  <c r="E133" i="37"/>
  <c r="E134" i="37" s="1"/>
  <c r="F47" i="37"/>
  <c r="F34" i="37"/>
  <c r="F35" i="37" s="1"/>
  <c r="E212" i="37"/>
  <c r="E213" i="37" s="1"/>
  <c r="X63" i="8"/>
  <c r="W96" i="19"/>
  <c r="E53" i="37"/>
  <c r="E54" i="37" s="1"/>
  <c r="F205" i="37"/>
  <c r="Y55" i="16"/>
  <c r="H126" i="37" s="1"/>
  <c r="F127" i="37"/>
  <c r="F128" i="37"/>
  <c r="F207" i="37" s="1"/>
  <c r="F48" i="37"/>
  <c r="Y61" i="16"/>
  <c r="Y56" i="16"/>
  <c r="H29" i="37" s="1"/>
  <c r="X54" i="16"/>
  <c r="G28" i="37" s="1"/>
  <c r="AV91" i="17"/>
  <c r="V136" i="19"/>
  <c r="V137" i="19"/>
  <c r="V135" i="19"/>
  <c r="T137" i="19"/>
  <c r="T150" i="19" s="1"/>
  <c r="T136" i="19"/>
  <c r="T135" i="19"/>
  <c r="U137" i="19"/>
  <c r="U150" i="19" s="1"/>
  <c r="U136" i="19"/>
  <c r="U135" i="19"/>
  <c r="Y327" i="14"/>
  <c r="Y322" i="14"/>
  <c r="Y328" i="14"/>
  <c r="Y324" i="14"/>
  <c r="Y326" i="14"/>
  <c r="Y320" i="14"/>
  <c r="Y323" i="14"/>
  <c r="Y318" i="14"/>
  <c r="Y325" i="14"/>
  <c r="Y316" i="14"/>
  <c r="Y315" i="14"/>
  <c r="Y319" i="14"/>
  <c r="Y321" i="14"/>
  <c r="Y317" i="14"/>
  <c r="Y54" i="14"/>
  <c r="BA60" i="16"/>
  <c r="Q51" i="28"/>
  <c r="P48" i="28"/>
  <c r="L49" i="28"/>
  <c r="H51" i="28"/>
  <c r="E53" i="28"/>
  <c r="O52" i="28"/>
  <c r="K53" i="28"/>
  <c r="G48" i="28"/>
  <c r="C95" i="28" s="1"/>
  <c r="D95" i="28" s="1"/>
  <c r="E95" i="28" s="1"/>
  <c r="F95" i="28" s="1"/>
  <c r="G95" i="28" s="1"/>
  <c r="H95" i="28" s="1"/>
  <c r="I95" i="28" s="1"/>
  <c r="J95" i="28" s="1"/>
  <c r="K95" i="28" s="1"/>
  <c r="L95" i="28" s="1"/>
  <c r="M95" i="28" s="1"/>
  <c r="N95" i="28" s="1"/>
  <c r="O95" i="28" s="1"/>
  <c r="P95" i="28" s="1"/>
  <c r="Q95" i="28" s="1"/>
  <c r="L52" i="28"/>
  <c r="E48" i="28"/>
  <c r="J51" i="28"/>
  <c r="F52" i="28"/>
  <c r="B53" i="28"/>
  <c r="I53" i="28"/>
  <c r="J48" i="28"/>
  <c r="E49" i="28"/>
  <c r="P49" i="28"/>
  <c r="L51" i="28"/>
  <c r="F48" i="28"/>
  <c r="C92" i="28" s="1"/>
  <c r="D92" i="28" s="1"/>
  <c r="E92" i="28" s="1"/>
  <c r="F92" i="28" s="1"/>
  <c r="G92" i="28" s="1"/>
  <c r="H92" i="28" s="1"/>
  <c r="I92" i="28" s="1"/>
  <c r="J92" i="28" s="1"/>
  <c r="K92" i="28" s="1"/>
  <c r="L92" i="28" s="1"/>
  <c r="M92" i="28" s="1"/>
  <c r="N92" i="28" s="1"/>
  <c r="O92" i="28" s="1"/>
  <c r="P92" i="28" s="1"/>
  <c r="Q92" i="28" s="1"/>
  <c r="Q48" i="28"/>
  <c r="M51" i="28"/>
  <c r="G51" i="28"/>
  <c r="L48" i="28"/>
  <c r="D51" i="28"/>
  <c r="K52" i="28"/>
  <c r="K51" i="28"/>
  <c r="B52" i="28"/>
  <c r="B48" i="28"/>
  <c r="C85" i="28" s="1"/>
  <c r="D85" i="28" s="1"/>
  <c r="E85" i="28" s="1"/>
  <c r="F85" i="28" s="1"/>
  <c r="G85" i="28" s="1"/>
  <c r="H85" i="28" s="1"/>
  <c r="I85" i="28" s="1"/>
  <c r="J85" i="28" s="1"/>
  <c r="K85" i="28" s="1"/>
  <c r="L85" i="28" s="1"/>
  <c r="M85" i="28" s="1"/>
  <c r="N85" i="28" s="1"/>
  <c r="O85" i="28" s="1"/>
  <c r="P85" i="28" s="1"/>
  <c r="Q85" i="28" s="1"/>
  <c r="D53" i="28"/>
  <c r="O53" i="28"/>
  <c r="K48" i="28"/>
  <c r="M53" i="28"/>
  <c r="M48" i="28"/>
  <c r="N51" i="28"/>
  <c r="J52" i="28"/>
  <c r="F53" i="28"/>
  <c r="I48" i="28"/>
  <c r="C49" i="28"/>
  <c r="I49" i="28"/>
  <c r="E51" i="28"/>
  <c r="P51" i="28"/>
  <c r="N48" i="28"/>
  <c r="H53" i="28"/>
  <c r="D48" i="28"/>
  <c r="O48" i="28"/>
  <c r="K49" i="28"/>
  <c r="F49" i="28"/>
  <c r="Q52" i="28"/>
  <c r="H49" i="28"/>
  <c r="C48" i="28"/>
  <c r="F51" i="28"/>
  <c r="H52" i="28"/>
  <c r="C52" i="28"/>
  <c r="N52" i="28"/>
  <c r="J53" i="28"/>
  <c r="B49" i="28"/>
  <c r="N49" i="28"/>
  <c r="M49" i="28"/>
  <c r="I51" i="28"/>
  <c r="E52" i="28"/>
  <c r="G49" i="28"/>
  <c r="L53" i="28"/>
  <c r="H48" i="28"/>
  <c r="D49" i="28"/>
  <c r="O49" i="28"/>
  <c r="C51" i="28"/>
  <c r="G52" i="28"/>
  <c r="C53" i="28"/>
  <c r="N53" i="28"/>
  <c r="J49" i="28"/>
  <c r="O51" i="28"/>
  <c r="Q49" i="28"/>
  <c r="B51" i="28"/>
  <c r="I52" i="28"/>
  <c r="P53" i="28"/>
  <c r="D52" i="28"/>
  <c r="G53" i="28"/>
  <c r="P52" i="28"/>
  <c r="M52" i="28"/>
  <c r="Q53" i="28"/>
  <c r="Z15" i="19"/>
  <c r="AI250" i="17"/>
  <c r="BE12" i="17"/>
  <c r="BD250" i="17"/>
  <c r="BF8" i="19"/>
  <c r="BF12" i="19" s="1"/>
  <c r="AK8" i="19"/>
  <c r="AK12" i="19" s="1"/>
  <c r="BE15" i="19"/>
  <c r="Y8" i="19"/>
  <c r="Y12" i="19" s="1"/>
  <c r="BI10" i="19"/>
  <c r="BJ52" i="14"/>
  <c r="BI9" i="19"/>
  <c r="BJ51" i="14"/>
  <c r="Z50" i="14"/>
  <c r="Y8" i="17"/>
  <c r="X250" i="17" s="1"/>
  <c r="AA228" i="14"/>
  <c r="BE15" i="17"/>
  <c r="BD251" i="17" s="1"/>
  <c r="Y9" i="17"/>
  <c r="Z51" i="14"/>
  <c r="Z9" i="19" s="1"/>
  <c r="BF8" i="17"/>
  <c r="BG50" i="14"/>
  <c r="X12" i="17"/>
  <c r="BF57" i="14"/>
  <c r="BE59" i="14"/>
  <c r="BC23" i="8"/>
  <c r="BC26" i="8" s="1"/>
  <c r="BD22" i="8"/>
  <c r="BA58" i="16"/>
  <c r="BA59" i="16"/>
  <c r="BA53" i="16"/>
  <c r="BB56" i="8"/>
  <c r="BB61" i="8"/>
  <c r="BA57" i="16"/>
  <c r="AJ12" i="17"/>
  <c r="AK10" i="17"/>
  <c r="AK9" i="17"/>
  <c r="AK59" i="14"/>
  <c r="AB10" i="17"/>
  <c r="AK8" i="17"/>
  <c r="AK11" i="17"/>
  <c r="AA11" i="17"/>
  <c r="BF16" i="17"/>
  <c r="BI10" i="17"/>
  <c r="BI9" i="17"/>
  <c r="BF54" i="14"/>
  <c r="BF11" i="17"/>
  <c r="AM58" i="14"/>
  <c r="AM16" i="19" s="1"/>
  <c r="AL16" i="17"/>
  <c r="AA57" i="14"/>
  <c r="Z15" i="17"/>
  <c r="Y251" i="17" s="1"/>
  <c r="Z59" i="14"/>
  <c r="AL57" i="14"/>
  <c r="AL15" i="19" s="1"/>
  <c r="AK15" i="17"/>
  <c r="AJ251" i="17" s="1"/>
  <c r="AB58" i="14"/>
  <c r="AB16" i="19" s="1"/>
  <c r="AA16" i="17"/>
  <c r="AK54" i="14"/>
  <c r="AL52" i="14"/>
  <c r="AL10" i="19" s="1"/>
  <c r="AC52" i="14"/>
  <c r="AC10" i="19" s="1"/>
  <c r="AL51" i="14"/>
  <c r="AL9" i="19" s="1"/>
  <c r="AL50" i="14"/>
  <c r="BG53" i="14"/>
  <c r="BG11" i="19" s="1"/>
  <c r="AL53" i="14"/>
  <c r="AL11" i="19" s="1"/>
  <c r="AB53" i="14"/>
  <c r="AB11" i="19" s="1"/>
  <c r="AB215" i="14"/>
  <c r="BG58" i="14"/>
  <c r="BG16" i="19" s="1"/>
  <c r="G129" i="37" l="1"/>
  <c r="G208" i="37" s="1"/>
  <c r="G47" i="37"/>
  <c r="G34" i="37"/>
  <c r="G35" i="37" s="1"/>
  <c r="F206" i="37"/>
  <c r="F212" i="37" s="1"/>
  <c r="F213" i="37" s="1"/>
  <c r="F133" i="37"/>
  <c r="F134" i="37" s="1"/>
  <c r="W136" i="19"/>
  <c r="W137" i="19"/>
  <c r="W135" i="19"/>
  <c r="W149" i="19" s="1"/>
  <c r="F53" i="37"/>
  <c r="F54" i="37" s="1"/>
  <c r="H30" i="37"/>
  <c r="H129" i="37" s="1"/>
  <c r="H208" i="37" s="1"/>
  <c r="Y63" i="8"/>
  <c r="X96" i="19"/>
  <c r="G127" i="37"/>
  <c r="G205" i="37"/>
  <c r="Z55" i="16"/>
  <c r="I126" i="37" s="1"/>
  <c r="G128" i="37"/>
  <c r="G207" i="37" s="1"/>
  <c r="G48" i="37"/>
  <c r="Z61" i="16"/>
  <c r="Y54" i="16"/>
  <c r="H28" i="37" s="1"/>
  <c r="Z56" i="16"/>
  <c r="I29" i="37" s="1"/>
  <c r="Q54" i="28"/>
  <c r="AW91" i="17"/>
  <c r="T149" i="19"/>
  <c r="U149" i="19"/>
  <c r="BB60" i="16"/>
  <c r="Z318" i="14"/>
  <c r="Z317" i="14"/>
  <c r="Z319" i="14"/>
  <c r="Z322" i="14"/>
  <c r="Z328" i="14"/>
  <c r="Z320" i="14"/>
  <c r="Z324" i="14"/>
  <c r="Z326" i="14"/>
  <c r="Z325" i="14"/>
  <c r="Z316" i="14"/>
  <c r="Z315" i="14"/>
  <c r="Z321" i="14"/>
  <c r="Z327" i="14"/>
  <c r="Z323" i="14"/>
  <c r="L54" i="28"/>
  <c r="O54" i="28"/>
  <c r="F54" i="28"/>
  <c r="V150" i="19"/>
  <c r="I54" i="28"/>
  <c r="V149" i="19"/>
  <c r="G54" i="28"/>
  <c r="N54" i="28"/>
  <c r="D54" i="28"/>
  <c r="B54" i="28"/>
  <c r="E54" i="28"/>
  <c r="C54" i="28"/>
  <c r="M54" i="28"/>
  <c r="P54" i="28"/>
  <c r="J54" i="28"/>
  <c r="H54" i="28"/>
  <c r="K54" i="28"/>
  <c r="AA15" i="19"/>
  <c r="AJ250" i="17"/>
  <c r="BF15" i="19"/>
  <c r="BG8" i="19"/>
  <c r="BG12" i="19" s="1"/>
  <c r="BF12" i="17"/>
  <c r="BE250" i="17"/>
  <c r="AL8" i="19"/>
  <c r="AL12" i="19" s="1"/>
  <c r="AA50" i="14"/>
  <c r="Z8" i="17"/>
  <c r="Y250" i="17" s="1"/>
  <c r="Z8" i="19"/>
  <c r="AB228" i="14"/>
  <c r="BJ9" i="19"/>
  <c r="BJ9" i="17"/>
  <c r="BJ10" i="19"/>
  <c r="BJ10" i="17"/>
  <c r="Z54" i="14"/>
  <c r="Z9" i="17"/>
  <c r="Y12" i="17"/>
  <c r="AA51" i="14"/>
  <c r="AA9" i="19" s="1"/>
  <c r="BF15" i="17"/>
  <c r="BE251" i="17" s="1"/>
  <c r="BH50" i="14"/>
  <c r="BF59" i="14"/>
  <c r="BG8" i="17"/>
  <c r="BB57" i="16"/>
  <c r="BG57" i="14"/>
  <c r="BB59" i="16"/>
  <c r="BB58" i="16"/>
  <c r="BD23" i="8"/>
  <c r="BD26" i="8" s="1"/>
  <c r="BE22" i="8"/>
  <c r="BB53" i="16"/>
  <c r="BC61" i="8"/>
  <c r="BC56" i="8"/>
  <c r="AK12" i="17"/>
  <c r="AL9" i="17"/>
  <c r="AA59" i="14"/>
  <c r="AL11" i="17"/>
  <c r="AL59" i="14"/>
  <c r="BG11" i="17"/>
  <c r="AC10" i="17"/>
  <c r="BG16" i="17"/>
  <c r="AB11" i="17"/>
  <c r="AL8" i="17"/>
  <c r="AL10" i="17"/>
  <c r="AC58" i="14"/>
  <c r="AC16" i="19" s="1"/>
  <c r="AB16" i="17"/>
  <c r="AN58" i="14"/>
  <c r="AN16" i="19" s="1"/>
  <c r="AM16" i="17"/>
  <c r="AL54" i="14"/>
  <c r="AM57" i="14"/>
  <c r="AM15" i="19" s="1"/>
  <c r="AL15" i="17"/>
  <c r="AK251" i="17" s="1"/>
  <c r="AB57" i="14"/>
  <c r="AA15" i="17"/>
  <c r="Z251" i="17" s="1"/>
  <c r="BH53" i="14"/>
  <c r="BH11" i="19" s="1"/>
  <c r="AD52" i="14"/>
  <c r="AD10" i="19" s="1"/>
  <c r="BG54" i="14"/>
  <c r="AC53" i="14"/>
  <c r="AC11" i="19" s="1"/>
  <c r="AM53" i="14"/>
  <c r="AM11" i="19" s="1"/>
  <c r="AM50" i="14"/>
  <c r="AM51" i="14"/>
  <c r="AM9" i="19" s="1"/>
  <c r="AM52" i="14"/>
  <c r="AM10" i="19" s="1"/>
  <c r="AC215" i="14"/>
  <c r="BH58" i="14"/>
  <c r="BH16" i="19" s="1"/>
  <c r="H47" i="37" l="1"/>
  <c r="H34" i="37"/>
  <c r="H35" i="37" s="1"/>
  <c r="X136" i="19"/>
  <c r="X149" i="19" s="1"/>
  <c r="X137" i="19"/>
  <c r="X135" i="19"/>
  <c r="H49" i="37"/>
  <c r="I30" i="37"/>
  <c r="I129" i="37" s="1"/>
  <c r="I208" i="37" s="1"/>
  <c r="G206" i="37"/>
  <c r="G212" i="37" s="1"/>
  <c r="G213" i="37" s="1"/>
  <c r="G133" i="37"/>
  <c r="G134" i="37" s="1"/>
  <c r="Z63" i="8"/>
  <c r="Y96" i="19"/>
  <c r="G53" i="37"/>
  <c r="G54" i="37" s="1"/>
  <c r="H127" i="37"/>
  <c r="H205" i="37"/>
  <c r="AA55" i="16"/>
  <c r="J126" i="37" s="1"/>
  <c r="H128" i="37"/>
  <c r="H207" i="37" s="1"/>
  <c r="H48" i="37"/>
  <c r="AA61" i="16"/>
  <c r="AA56" i="16"/>
  <c r="J29" i="37" s="1"/>
  <c r="Z54" i="16"/>
  <c r="I28" i="37" s="1"/>
  <c r="BC60" i="16"/>
  <c r="AX91" i="17"/>
  <c r="AA321" i="14"/>
  <c r="AA319" i="14"/>
  <c r="AA317" i="14"/>
  <c r="AA326" i="14"/>
  <c r="AA327" i="14"/>
  <c r="AA324" i="14"/>
  <c r="AA323" i="14"/>
  <c r="AA316" i="14"/>
  <c r="AA328" i="14"/>
  <c r="AA320" i="14"/>
  <c r="AA322" i="14"/>
  <c r="AA325" i="14"/>
  <c r="AA318" i="14"/>
  <c r="AA315" i="14"/>
  <c r="AA8" i="17"/>
  <c r="Z250" i="17" s="1"/>
  <c r="W150" i="19"/>
  <c r="AB15" i="19"/>
  <c r="AA9" i="17"/>
  <c r="Z12" i="17"/>
  <c r="AM8" i="19"/>
  <c r="AM12" i="19" s="1"/>
  <c r="BH8" i="19"/>
  <c r="BH12" i="19" s="1"/>
  <c r="AA8" i="19"/>
  <c r="AA12" i="19" s="1"/>
  <c r="AK250" i="17"/>
  <c r="BG15" i="19"/>
  <c r="BG12" i="17"/>
  <c r="BF250" i="17"/>
  <c r="AA54" i="14"/>
  <c r="AB50" i="14"/>
  <c r="Z12" i="19"/>
  <c r="AC228" i="14"/>
  <c r="BI50" i="14"/>
  <c r="BI8" i="17" s="1"/>
  <c r="AB59" i="14"/>
  <c r="AB51" i="14"/>
  <c r="AB9" i="19" s="1"/>
  <c r="BG15" i="17"/>
  <c r="BF251" i="17" s="1"/>
  <c r="BH57" i="14"/>
  <c r="BG59" i="14"/>
  <c r="BH8" i="17"/>
  <c r="BC58" i="16"/>
  <c r="BE23" i="8"/>
  <c r="BE26" i="8" s="1"/>
  <c r="BF22" i="8"/>
  <c r="BC57" i="16"/>
  <c r="BC59" i="16"/>
  <c r="BC53" i="16"/>
  <c r="BD56" i="8"/>
  <c r="BD61" i="8"/>
  <c r="AL12" i="17"/>
  <c r="AM8" i="17"/>
  <c r="AM9" i="17"/>
  <c r="BH16" i="17"/>
  <c r="AM11" i="17"/>
  <c r="AM59" i="14"/>
  <c r="AD10" i="17"/>
  <c r="AM10" i="17"/>
  <c r="AC11" i="17"/>
  <c r="AN57" i="14"/>
  <c r="AN15" i="19" s="1"/>
  <c r="AM15" i="17"/>
  <c r="AL251" i="17" s="1"/>
  <c r="AC57" i="14"/>
  <c r="AB15" i="17"/>
  <c r="AA251" i="17" s="1"/>
  <c r="AD58" i="14"/>
  <c r="AD16" i="19" s="1"/>
  <c r="AC16" i="17"/>
  <c r="AO58" i="14"/>
  <c r="AO16" i="19" s="1"/>
  <c r="AN16" i="17"/>
  <c r="BH54" i="14"/>
  <c r="BH11" i="17"/>
  <c r="AN53" i="14"/>
  <c r="AN11" i="19" s="1"/>
  <c r="BI53" i="14"/>
  <c r="AN51" i="14"/>
  <c r="AN9" i="19" s="1"/>
  <c r="AN52" i="14"/>
  <c r="AN10" i="19" s="1"/>
  <c r="AN50" i="14"/>
  <c r="AD53" i="14"/>
  <c r="AD11" i="19" s="1"/>
  <c r="AM54" i="14"/>
  <c r="AD215" i="14"/>
  <c r="BI58" i="14"/>
  <c r="I49" i="37" l="1"/>
  <c r="Y137" i="19"/>
  <c r="Y136" i="19"/>
  <c r="Y135" i="19"/>
  <c r="I47" i="37"/>
  <c r="I34" i="37"/>
  <c r="I35" i="37" s="1"/>
  <c r="H206" i="37"/>
  <c r="H212" i="37" s="1"/>
  <c r="H213" i="37" s="1"/>
  <c r="H133" i="37"/>
  <c r="H134" i="37" s="1"/>
  <c r="J30" i="37"/>
  <c r="J49" i="37" s="1"/>
  <c r="AA63" i="8"/>
  <c r="Z96" i="19"/>
  <c r="H53" i="37"/>
  <c r="H54" i="37" s="1"/>
  <c r="BD60" i="16"/>
  <c r="I127" i="37"/>
  <c r="I205" i="37"/>
  <c r="AB55" i="16"/>
  <c r="K126" i="37" s="1"/>
  <c r="I128" i="37"/>
  <c r="I207" i="37" s="1"/>
  <c r="I48" i="37"/>
  <c r="AB61" i="16"/>
  <c r="J129" i="37"/>
  <c r="J208" i="37" s="1"/>
  <c r="AA54" i="16"/>
  <c r="J28" i="37" s="1"/>
  <c r="AB56" i="16"/>
  <c r="K29" i="37" s="1"/>
  <c r="AY91" i="17"/>
  <c r="AA12" i="17"/>
  <c r="AB320" i="14"/>
  <c r="AB326" i="14"/>
  <c r="AB325" i="14"/>
  <c r="AB327" i="14"/>
  <c r="AB318" i="14"/>
  <c r="AB315" i="14"/>
  <c r="AB324" i="14"/>
  <c r="AB321" i="14"/>
  <c r="AB328" i="14"/>
  <c r="AB323" i="14"/>
  <c r="AB317" i="14"/>
  <c r="AB322" i="14"/>
  <c r="AB319" i="14"/>
  <c r="AB316" i="14"/>
  <c r="AB54" i="14"/>
  <c r="AD326" i="14"/>
  <c r="AD322" i="14"/>
  <c r="AD318" i="14"/>
  <c r="AD325" i="14"/>
  <c r="AD321" i="14"/>
  <c r="AD317" i="14"/>
  <c r="AD328" i="14"/>
  <c r="AD324" i="14"/>
  <c r="AD323" i="14"/>
  <c r="AD320" i="14"/>
  <c r="AD316" i="14"/>
  <c r="AD327" i="14"/>
  <c r="AD319" i="14"/>
  <c r="AD315" i="14"/>
  <c r="AC50" i="14"/>
  <c r="AC54" i="14" s="1"/>
  <c r="AB8" i="17"/>
  <c r="AA250" i="17" s="1"/>
  <c r="X150" i="19"/>
  <c r="AC15" i="19"/>
  <c r="AN8" i="19"/>
  <c r="AN12" i="19" s="1"/>
  <c r="BI12" i="17"/>
  <c r="AL250" i="17"/>
  <c r="BH15" i="19"/>
  <c r="BH12" i="17"/>
  <c r="BG250" i="17"/>
  <c r="AB9" i="17"/>
  <c r="AB8" i="19"/>
  <c r="AB12" i="19" s="1"/>
  <c r="BI8" i="19"/>
  <c r="BJ50" i="14"/>
  <c r="BI16" i="19"/>
  <c r="BJ58" i="14"/>
  <c r="AD228" i="14"/>
  <c r="BI11" i="19"/>
  <c r="BJ53" i="14"/>
  <c r="AC51" i="14"/>
  <c r="AC9" i="19" s="1"/>
  <c r="BI57" i="14"/>
  <c r="BI59" i="14" s="1"/>
  <c r="BH59" i="14"/>
  <c r="BH15" i="17"/>
  <c r="BG251" i="17" s="1"/>
  <c r="BD59" i="16"/>
  <c r="BD57" i="16"/>
  <c r="BF23" i="8"/>
  <c r="BF26" i="8" s="1"/>
  <c r="BG22" i="8"/>
  <c r="BE56" i="8"/>
  <c r="BE61" i="8"/>
  <c r="BD53" i="16"/>
  <c r="BD58" i="16"/>
  <c r="AN59" i="14"/>
  <c r="AM12" i="17"/>
  <c r="AD11" i="17"/>
  <c r="BI11" i="17"/>
  <c r="BH250" i="17" s="1"/>
  <c r="AD16" i="17"/>
  <c r="AN11" i="17"/>
  <c r="BI16" i="17"/>
  <c r="AN9" i="17"/>
  <c r="BI54" i="14"/>
  <c r="AN10" i="17"/>
  <c r="AD57" i="14"/>
  <c r="AC15" i="17"/>
  <c r="AB251" i="17" s="1"/>
  <c r="AP58" i="14"/>
  <c r="AP16" i="19" s="1"/>
  <c r="AO16" i="17"/>
  <c r="AC59" i="14"/>
  <c r="AN54" i="14"/>
  <c r="AN8" i="17"/>
  <c r="AO57" i="14"/>
  <c r="AO15" i="19" s="1"/>
  <c r="AN15" i="17"/>
  <c r="AM251" i="17" s="1"/>
  <c r="AO52" i="14"/>
  <c r="AO10" i="19" s="1"/>
  <c r="AO50" i="14"/>
  <c r="AO51" i="14"/>
  <c r="AO9" i="19" s="1"/>
  <c r="AO53" i="14"/>
  <c r="AO11" i="19" s="1"/>
  <c r="AE215" i="14"/>
  <c r="Y149" i="19" l="1"/>
  <c r="K30" i="37"/>
  <c r="K49" i="37" s="1"/>
  <c r="Z136" i="19"/>
  <c r="Z137" i="19"/>
  <c r="Z135" i="19"/>
  <c r="I53" i="37"/>
  <c r="I54" i="37" s="1"/>
  <c r="J47" i="37"/>
  <c r="J34" i="37"/>
  <c r="J35" i="37" s="1"/>
  <c r="BE60" i="16"/>
  <c r="I206" i="37"/>
  <c r="I212" i="37" s="1"/>
  <c r="I213" i="37" s="1"/>
  <c r="I133" i="37"/>
  <c r="I134" i="37" s="1"/>
  <c r="AB63" i="8"/>
  <c r="AA96" i="19"/>
  <c r="J205" i="37"/>
  <c r="J127" i="37"/>
  <c r="AC55" i="16"/>
  <c r="L126" i="37" s="1"/>
  <c r="J128" i="37"/>
  <c r="J207" i="37" s="1"/>
  <c r="J48" i="37"/>
  <c r="AC61" i="16"/>
  <c r="AC56" i="16"/>
  <c r="L29" i="37" s="1"/>
  <c r="AB54" i="16"/>
  <c r="K28" i="37" s="1"/>
  <c r="AZ91" i="17"/>
  <c r="AC319" i="14"/>
  <c r="AC325" i="14"/>
  <c r="AC324" i="14"/>
  <c r="AC326" i="14"/>
  <c r="AC315" i="14"/>
  <c r="AC320" i="14"/>
  <c r="AC318" i="14"/>
  <c r="AC316" i="14"/>
  <c r="AC327" i="14"/>
  <c r="AC322" i="14"/>
  <c r="AC321" i="14"/>
  <c r="AC317" i="14"/>
  <c r="AC323" i="14"/>
  <c r="AC328" i="14"/>
  <c r="AE325" i="14"/>
  <c r="AE321" i="14"/>
  <c r="AE328" i="14"/>
  <c r="AE324" i="14"/>
  <c r="AE320" i="14"/>
  <c r="AE323" i="14"/>
  <c r="AE327" i="14"/>
  <c r="AE319" i="14"/>
  <c r="AE322" i="14"/>
  <c r="AE316" i="14"/>
  <c r="AE317" i="14"/>
  <c r="AE315" i="14"/>
  <c r="AE326" i="14"/>
  <c r="AE318" i="14"/>
  <c r="AC8" i="19"/>
  <c r="AC12" i="19" s="1"/>
  <c r="AC8" i="17"/>
  <c r="AB250" i="17" s="1"/>
  <c r="AD50" i="14"/>
  <c r="AD8" i="19" s="1"/>
  <c r="Y150" i="19"/>
  <c r="AC9" i="17"/>
  <c r="AD51" i="14"/>
  <c r="AD9" i="19" s="1"/>
  <c r="AD15" i="19"/>
  <c r="AB12" i="17"/>
  <c r="AO8" i="19"/>
  <c r="AO12" i="19" s="1"/>
  <c r="AM250" i="17"/>
  <c r="BI12" i="19"/>
  <c r="BJ11" i="19"/>
  <c r="BJ11" i="17"/>
  <c r="BJ16" i="19"/>
  <c r="BJ16" i="17"/>
  <c r="BI15" i="19"/>
  <c r="BJ57" i="14"/>
  <c r="AE228" i="14"/>
  <c r="BI15" i="17"/>
  <c r="BH251" i="17" s="1"/>
  <c r="BJ54" i="14"/>
  <c r="BJ8" i="19"/>
  <c r="BJ8" i="17"/>
  <c r="BE53" i="16"/>
  <c r="BE58" i="16"/>
  <c r="AO59" i="14"/>
  <c r="BE59" i="16"/>
  <c r="BG23" i="8"/>
  <c r="BG26" i="8" s="1"/>
  <c r="BH22" i="8"/>
  <c r="BF56" i="8"/>
  <c r="BF61" i="8"/>
  <c r="BE57" i="16"/>
  <c r="AO8" i="17"/>
  <c r="AO11" i="17"/>
  <c r="AO10" i="17"/>
  <c r="AN12" i="17"/>
  <c r="AO9" i="17"/>
  <c r="AQ58" i="14"/>
  <c r="AQ16" i="19" s="1"/>
  <c r="AP16" i="17"/>
  <c r="AP57" i="14"/>
  <c r="AP15" i="19" s="1"/>
  <c r="AO15" i="17"/>
  <c r="AN251" i="17" s="1"/>
  <c r="AD15" i="17"/>
  <c r="AC251" i="17" s="1"/>
  <c r="AD59" i="14"/>
  <c r="AP53" i="14"/>
  <c r="AP11" i="19" s="1"/>
  <c r="AP50" i="14"/>
  <c r="AP51" i="14"/>
  <c r="AP9" i="19" s="1"/>
  <c r="AP52" i="14"/>
  <c r="AP10" i="19" s="1"/>
  <c r="AO54" i="14"/>
  <c r="AF215" i="14"/>
  <c r="Z149" i="19" l="1"/>
  <c r="AA136" i="19"/>
  <c r="AA137" i="19"/>
  <c r="AA135" i="19"/>
  <c r="AA149" i="19" s="1"/>
  <c r="K129" i="37"/>
  <c r="K208" i="37" s="1"/>
  <c r="AC63" i="8"/>
  <c r="AB96" i="19"/>
  <c r="K47" i="37"/>
  <c r="K34" i="37"/>
  <c r="K35" i="37" s="1"/>
  <c r="BF60" i="16"/>
  <c r="L30" i="37"/>
  <c r="L129" i="37" s="1"/>
  <c r="L208" i="37" s="1"/>
  <c r="J206" i="37"/>
  <c r="J212" i="37" s="1"/>
  <c r="J213" i="37" s="1"/>
  <c r="J133" i="37"/>
  <c r="J134" i="37" s="1"/>
  <c r="J53" i="37"/>
  <c r="J54" i="37" s="1"/>
  <c r="K127" i="37"/>
  <c r="K205" i="37"/>
  <c r="AD55" i="16"/>
  <c r="M126" i="37" s="1"/>
  <c r="K128" i="37"/>
  <c r="K207" i="37" s="1"/>
  <c r="K48" i="37"/>
  <c r="AD61" i="16"/>
  <c r="AC54" i="16"/>
  <c r="L28" i="37" s="1"/>
  <c r="AD56" i="16"/>
  <c r="M29" i="37" s="1"/>
  <c r="BA91" i="17"/>
  <c r="AD8" i="17"/>
  <c r="AC250" i="17" s="1"/>
  <c r="AF328" i="14"/>
  <c r="AF324" i="14"/>
  <c r="AF320" i="14"/>
  <c r="AF327" i="14"/>
  <c r="AF323" i="14"/>
  <c r="AF319" i="14"/>
  <c r="AF322" i="14"/>
  <c r="AF316" i="14"/>
  <c r="AF321" i="14"/>
  <c r="AF317" i="14"/>
  <c r="AF315" i="14"/>
  <c r="AF326" i="14"/>
  <c r="AF318" i="14"/>
  <c r="AF325" i="14"/>
  <c r="AD54" i="14"/>
  <c r="AD9" i="17"/>
  <c r="AC12" i="17"/>
  <c r="AD12" i="19"/>
  <c r="Z150" i="19"/>
  <c r="AN250" i="17"/>
  <c r="BJ12" i="17"/>
  <c r="BI250" i="17"/>
  <c r="AP8" i="19"/>
  <c r="AP12" i="19" s="1"/>
  <c r="BJ12" i="19"/>
  <c r="BJ15" i="19"/>
  <c r="BJ15" i="17"/>
  <c r="BI251" i="17" s="1"/>
  <c r="BJ59" i="14"/>
  <c r="AF228" i="14"/>
  <c r="BF53" i="16"/>
  <c r="BF57" i="16"/>
  <c r="BH23" i="8"/>
  <c r="BH26" i="8" s="1"/>
  <c r="BI22" i="8"/>
  <c r="BI23" i="8" s="1"/>
  <c r="BI26" i="8" s="1"/>
  <c r="BF58" i="16"/>
  <c r="BG61" i="8"/>
  <c r="BG56" i="8"/>
  <c r="BF59" i="16"/>
  <c r="AO12" i="17"/>
  <c r="AP9" i="17"/>
  <c r="AP10" i="17"/>
  <c r="AP8" i="17"/>
  <c r="AP11" i="17"/>
  <c r="AP59" i="14"/>
  <c r="AQ57" i="14"/>
  <c r="AQ15" i="19" s="1"/>
  <c r="AP15" i="17"/>
  <c r="AO251" i="17" s="1"/>
  <c r="AR58" i="14"/>
  <c r="AR16" i="19" s="1"/>
  <c r="AQ16" i="17"/>
  <c r="AP54" i="14"/>
  <c r="AQ52" i="14"/>
  <c r="AQ10" i="19" s="1"/>
  <c r="AQ50" i="14"/>
  <c r="AQ51" i="14"/>
  <c r="AQ9" i="19" s="1"/>
  <c r="AQ53" i="14"/>
  <c r="AQ11" i="19" s="1"/>
  <c r="AG215" i="14"/>
  <c r="K53" i="37" l="1"/>
  <c r="K54" i="37" s="1"/>
  <c r="L49" i="37"/>
  <c r="AB137" i="19"/>
  <c r="AB136" i="19"/>
  <c r="AB135" i="19"/>
  <c r="BG60" i="16"/>
  <c r="M30" i="37"/>
  <c r="M49" i="37" s="1"/>
  <c r="AD63" i="8"/>
  <c r="AC96" i="19"/>
  <c r="L47" i="37"/>
  <c r="L34" i="37"/>
  <c r="L35" i="37" s="1"/>
  <c r="K206" i="37"/>
  <c r="K212" i="37" s="1"/>
  <c r="K213" i="37" s="1"/>
  <c r="K133" i="37"/>
  <c r="K134" i="37" s="1"/>
  <c r="L205" i="37"/>
  <c r="L127" i="37"/>
  <c r="AE55" i="16"/>
  <c r="N126" i="37" s="1"/>
  <c r="L128" i="37"/>
  <c r="L207" i="37" s="1"/>
  <c r="L48" i="37"/>
  <c r="AE61" i="16"/>
  <c r="AE56" i="16"/>
  <c r="N29" i="37" s="1"/>
  <c r="AD54" i="16"/>
  <c r="M28" i="37" s="1"/>
  <c r="BB91" i="17"/>
  <c r="AD12" i="17"/>
  <c r="AG328" i="14"/>
  <c r="AG327" i="14"/>
  <c r="AG323" i="14"/>
  <c r="AG319" i="14"/>
  <c r="AG326" i="14"/>
  <c r="AG322" i="14"/>
  <c r="AG318" i="14"/>
  <c r="AG321" i="14"/>
  <c r="AG317" i="14"/>
  <c r="AG315" i="14"/>
  <c r="AG325" i="14"/>
  <c r="AG320" i="14"/>
  <c r="AG324" i="14"/>
  <c r="AG316" i="14"/>
  <c r="BG57" i="16"/>
  <c r="AA150" i="19"/>
  <c r="AQ8" i="19"/>
  <c r="AQ12" i="19" s="1"/>
  <c r="AO250" i="17"/>
  <c r="AG228" i="14"/>
  <c r="BG59" i="16"/>
  <c r="BG53" i="16"/>
  <c r="BI56" i="8"/>
  <c r="BI61" i="8"/>
  <c r="BG58" i="16"/>
  <c r="BH56" i="8"/>
  <c r="BH61" i="8"/>
  <c r="AQ59" i="14"/>
  <c r="AP12" i="17"/>
  <c r="AQ10" i="17"/>
  <c r="AQ8" i="17"/>
  <c r="AQ11" i="17"/>
  <c r="AQ9" i="17"/>
  <c r="AR57" i="14"/>
  <c r="AR15" i="19" s="1"/>
  <c r="AQ15" i="17"/>
  <c r="AP251" i="17" s="1"/>
  <c r="AS58" i="14"/>
  <c r="AS16" i="19" s="1"/>
  <c r="AR16" i="17"/>
  <c r="AR53" i="14"/>
  <c r="AR11" i="19" s="1"/>
  <c r="AR50" i="14"/>
  <c r="AQ54" i="14"/>
  <c r="AR51" i="14"/>
  <c r="AR9" i="19" s="1"/>
  <c r="AR52" i="14"/>
  <c r="AR10" i="19" s="1"/>
  <c r="AH215" i="14"/>
  <c r="M129" i="37" l="1"/>
  <c r="M208" i="37" s="1"/>
  <c r="AB149" i="19"/>
  <c r="AE63" i="8"/>
  <c r="AD96" i="19"/>
  <c r="M47" i="37"/>
  <c r="M34" i="37"/>
  <c r="M35" i="37" s="1"/>
  <c r="L53" i="37"/>
  <c r="L54" i="37" s="1"/>
  <c r="N30" i="37"/>
  <c r="N49" i="37" s="1"/>
  <c r="L206" i="37"/>
  <c r="L212" i="37" s="1"/>
  <c r="L213" i="37" s="1"/>
  <c r="L133" i="37"/>
  <c r="L134" i="37" s="1"/>
  <c r="BH60" i="16"/>
  <c r="AC137" i="19"/>
  <c r="AC136" i="19"/>
  <c r="AC135" i="19"/>
  <c r="AC149" i="19" s="1"/>
  <c r="M127" i="37"/>
  <c r="M205" i="37"/>
  <c r="AF55" i="16"/>
  <c r="O126" i="37" s="1"/>
  <c r="M128" i="37"/>
  <c r="M207" i="37" s="1"/>
  <c r="M48" i="37"/>
  <c r="AF61" i="16"/>
  <c r="AE54" i="16"/>
  <c r="N28" i="37" s="1"/>
  <c r="AF56" i="16"/>
  <c r="O29" i="37" s="1"/>
  <c r="BC91" i="17"/>
  <c r="AH326" i="14"/>
  <c r="AH322" i="14"/>
  <c r="AH318" i="14"/>
  <c r="AH325" i="14"/>
  <c r="AH321" i="14"/>
  <c r="AH317" i="14"/>
  <c r="AH320" i="14"/>
  <c r="AH324" i="14"/>
  <c r="AH316" i="14"/>
  <c r="AH327" i="14"/>
  <c r="AH319" i="14"/>
  <c r="AH323" i="14"/>
  <c r="AH328" i="14"/>
  <c r="AH315" i="14"/>
  <c r="AB150" i="19"/>
  <c r="AP250" i="17"/>
  <c r="AR8" i="19"/>
  <c r="AR12" i="19" s="1"/>
  <c r="AH228" i="14"/>
  <c r="BI60" i="16"/>
  <c r="BH58" i="16"/>
  <c r="BI58" i="16" s="1"/>
  <c r="BH57" i="16"/>
  <c r="BI57" i="16" s="1"/>
  <c r="BH53" i="16"/>
  <c r="BI53" i="16" s="1"/>
  <c r="BH59" i="16"/>
  <c r="BI59" i="16" s="1"/>
  <c r="AQ12" i="17"/>
  <c r="AR9" i="17"/>
  <c r="AR11" i="17"/>
  <c r="AR10" i="17"/>
  <c r="AR59" i="14"/>
  <c r="AT58" i="14"/>
  <c r="AT16" i="19" s="1"/>
  <c r="AS16" i="17"/>
  <c r="AR54" i="14"/>
  <c r="AR8" i="17"/>
  <c r="AS57" i="14"/>
  <c r="AS15" i="19" s="1"/>
  <c r="AR15" i="17"/>
  <c r="AQ251" i="17" s="1"/>
  <c r="AS50" i="14"/>
  <c r="AS51" i="14"/>
  <c r="AS9" i="19" s="1"/>
  <c r="AS52" i="14"/>
  <c r="AS10" i="19" s="1"/>
  <c r="AS53" i="14"/>
  <c r="AS11" i="19" s="1"/>
  <c r="AI215" i="14"/>
  <c r="N47" i="37" l="1"/>
  <c r="N34" i="37"/>
  <c r="N35" i="37" s="1"/>
  <c r="M53" i="37"/>
  <c r="M54" i="37" s="1"/>
  <c r="N129" i="37"/>
  <c r="N208" i="37" s="1"/>
  <c r="AD137" i="19"/>
  <c r="AD136" i="19"/>
  <c r="AD135" i="19"/>
  <c r="M206" i="37"/>
  <c r="M212" i="37" s="1"/>
  <c r="M213" i="37" s="1"/>
  <c r="M133" i="37"/>
  <c r="M134" i="37" s="1"/>
  <c r="O30" i="37"/>
  <c r="O129" i="37" s="1"/>
  <c r="O208" i="37" s="1"/>
  <c r="AF63" i="8"/>
  <c r="AE96" i="19"/>
  <c r="N205" i="37"/>
  <c r="N127" i="37"/>
  <c r="AG55" i="16"/>
  <c r="P126" i="37" s="1"/>
  <c r="N128" i="37"/>
  <c r="N207" i="37" s="1"/>
  <c r="N48" i="37"/>
  <c r="AG61" i="16"/>
  <c r="AG56" i="16"/>
  <c r="P29" i="37" s="1"/>
  <c r="AF54" i="16"/>
  <c r="O28" i="37" s="1"/>
  <c r="BD91" i="17"/>
  <c r="AI325" i="14"/>
  <c r="AI321" i="14"/>
  <c r="AI324" i="14"/>
  <c r="AI320" i="14"/>
  <c r="AI327" i="14"/>
  <c r="AI319" i="14"/>
  <c r="AI326" i="14"/>
  <c r="AI318" i="14"/>
  <c r="AI316" i="14"/>
  <c r="AI328" i="14"/>
  <c r="AI323" i="14"/>
  <c r="AI317" i="14"/>
  <c r="AI322" i="14"/>
  <c r="AI315" i="14"/>
  <c r="AC150" i="19"/>
  <c r="AQ250" i="17"/>
  <c r="AS8" i="19"/>
  <c r="AS12" i="19" s="1"/>
  <c r="AI228" i="14"/>
  <c r="AR12" i="17"/>
  <c r="AS59" i="14"/>
  <c r="AS10" i="17"/>
  <c r="AS9" i="17"/>
  <c r="AS11" i="17"/>
  <c r="AS8" i="17"/>
  <c r="AT57" i="14"/>
  <c r="AT15" i="19" s="1"/>
  <c r="AS15" i="17"/>
  <c r="AR251" i="17" s="1"/>
  <c r="AU58" i="14"/>
  <c r="AU16" i="19" s="1"/>
  <c r="AT16" i="17"/>
  <c r="AS54" i="14"/>
  <c r="AT53" i="14"/>
  <c r="AT11" i="19" s="1"/>
  <c r="AT51" i="14"/>
  <c r="AT9" i="19" s="1"/>
  <c r="AT52" i="14"/>
  <c r="AT10" i="19" s="1"/>
  <c r="AT50" i="14"/>
  <c r="AJ215" i="14"/>
  <c r="AD149" i="19" l="1"/>
  <c r="O47" i="37"/>
  <c r="O34" i="37"/>
  <c r="O35" i="37" s="1"/>
  <c r="AE136" i="19"/>
  <c r="AE149" i="19" s="1"/>
  <c r="AE137" i="19"/>
  <c r="AE135" i="19"/>
  <c r="O49" i="37"/>
  <c r="AG63" i="8"/>
  <c r="AF96" i="19"/>
  <c r="P30" i="37"/>
  <c r="P129" i="37" s="1"/>
  <c r="P208" i="37" s="1"/>
  <c r="N206" i="37"/>
  <c r="N212" i="37" s="1"/>
  <c r="N213" i="37" s="1"/>
  <c r="N133" i="37"/>
  <c r="N134" i="37" s="1"/>
  <c r="N53" i="37"/>
  <c r="N54" i="37" s="1"/>
  <c r="O127" i="37"/>
  <c r="O205" i="37"/>
  <c r="AH55" i="16"/>
  <c r="Q126" i="37" s="1"/>
  <c r="O128" i="37"/>
  <c r="O48" i="37"/>
  <c r="AH61" i="16"/>
  <c r="AG54" i="16"/>
  <c r="P28" i="37" s="1"/>
  <c r="AH56" i="16"/>
  <c r="Q29" i="37" s="1"/>
  <c r="BE91" i="17"/>
  <c r="AJ328" i="14"/>
  <c r="AJ324" i="14"/>
  <c r="AJ320" i="14"/>
  <c r="AJ327" i="14"/>
  <c r="AJ323" i="14"/>
  <c r="AJ319" i="14"/>
  <c r="AJ326" i="14"/>
  <c r="AJ318" i="14"/>
  <c r="AJ316" i="14"/>
  <c r="AJ322" i="14"/>
  <c r="AJ317" i="14"/>
  <c r="AJ325" i="14"/>
  <c r="AJ315" i="14"/>
  <c r="AJ321" i="14"/>
  <c r="AD150" i="19"/>
  <c r="AT8" i="19"/>
  <c r="AT12" i="19" s="1"/>
  <c r="AR250" i="17"/>
  <c r="AJ228" i="14"/>
  <c r="AS12" i="17"/>
  <c r="AT10" i="17"/>
  <c r="AT9" i="17"/>
  <c r="AT8" i="17"/>
  <c r="AT59" i="14"/>
  <c r="AT11" i="17"/>
  <c r="AU57" i="14"/>
  <c r="AU15" i="19" s="1"/>
  <c r="AT15" i="17"/>
  <c r="AS251" i="17" s="1"/>
  <c r="AV58" i="14"/>
  <c r="AV16" i="19" s="1"/>
  <c r="AU16" i="17"/>
  <c r="AU51" i="14"/>
  <c r="AU9" i="19" s="1"/>
  <c r="AU50" i="14"/>
  <c r="AT54" i="14"/>
  <c r="AU52" i="14"/>
  <c r="AU10" i="19" s="1"/>
  <c r="AU53" i="14"/>
  <c r="AU11" i="19" s="1"/>
  <c r="AK215" i="14"/>
  <c r="O206" i="37" l="1"/>
  <c r="O133" i="37"/>
  <c r="O134" i="37" s="1"/>
  <c r="P47" i="37"/>
  <c r="P34" i="37"/>
  <c r="P35" i="37" s="1"/>
  <c r="P49" i="37"/>
  <c r="AF136" i="19"/>
  <c r="AF137" i="19"/>
  <c r="AF135" i="19"/>
  <c r="AF149" i="19" s="1"/>
  <c r="Q30" i="37"/>
  <c r="Q49" i="37" s="1"/>
  <c r="O212" i="37"/>
  <c r="O213" i="37" s="1"/>
  <c r="AH63" i="8"/>
  <c r="AG96" i="19"/>
  <c r="O53" i="37"/>
  <c r="O54" i="37" s="1"/>
  <c r="P205" i="37"/>
  <c r="P127" i="37"/>
  <c r="AI55" i="16"/>
  <c r="R126" i="37" s="1"/>
  <c r="O207" i="37"/>
  <c r="P128" i="37"/>
  <c r="P207" i="37" s="1"/>
  <c r="P48" i="37"/>
  <c r="AI61" i="16"/>
  <c r="Q129" i="37"/>
  <c r="Q208" i="37" s="1"/>
  <c r="AI56" i="16"/>
  <c r="R29" i="37" s="1"/>
  <c r="AH54" i="16"/>
  <c r="Q28" i="37" s="1"/>
  <c r="BF91" i="17"/>
  <c r="AK327" i="14"/>
  <c r="AK323" i="14"/>
  <c r="AK319" i="14"/>
  <c r="AK328" i="14"/>
  <c r="AK326" i="14"/>
  <c r="AK322" i="14"/>
  <c r="AK318" i="14"/>
  <c r="AK325" i="14"/>
  <c r="AK315" i="14"/>
  <c r="AK324" i="14"/>
  <c r="AK317" i="14"/>
  <c r="AK321" i="14"/>
  <c r="AK320" i="14"/>
  <c r="AK316" i="14"/>
  <c r="AE150" i="19"/>
  <c r="AS250" i="17"/>
  <c r="AU8" i="19"/>
  <c r="AU12" i="19" s="1"/>
  <c r="AK228" i="14"/>
  <c r="AT12" i="17"/>
  <c r="AU10" i="17"/>
  <c r="AU9" i="17"/>
  <c r="AU59" i="14"/>
  <c r="AU8" i="17"/>
  <c r="AW58" i="14"/>
  <c r="AW16" i="19" s="1"/>
  <c r="AV16" i="17"/>
  <c r="AV57" i="14"/>
  <c r="AV15" i="19" s="1"/>
  <c r="AU15" i="17"/>
  <c r="AT251" i="17" s="1"/>
  <c r="AU54" i="14"/>
  <c r="AU11" i="17"/>
  <c r="AV50" i="14"/>
  <c r="AV53" i="14"/>
  <c r="AV11" i="19" s="1"/>
  <c r="AV52" i="14"/>
  <c r="AV10" i="19" s="1"/>
  <c r="AV51" i="14"/>
  <c r="AV9" i="19" s="1"/>
  <c r="AL215" i="14"/>
  <c r="P53" i="37" l="1"/>
  <c r="P54" i="37" s="1"/>
  <c r="R30" i="37"/>
  <c r="R49" i="37" s="1"/>
  <c r="AG137" i="19"/>
  <c r="AG136" i="19"/>
  <c r="AG135" i="19"/>
  <c r="Q47" i="37"/>
  <c r="Q34" i="37"/>
  <c r="Q35" i="37" s="1"/>
  <c r="P206" i="37"/>
  <c r="P212" i="37" s="1"/>
  <c r="P213" i="37" s="1"/>
  <c r="P133" i="37"/>
  <c r="P134" i="37" s="1"/>
  <c r="AI63" i="8"/>
  <c r="AH96" i="19"/>
  <c r="Q127" i="37"/>
  <c r="AJ55" i="16"/>
  <c r="S126" i="37" s="1"/>
  <c r="Q205" i="37"/>
  <c r="Q128" i="37"/>
  <c r="Q207" i="37" s="1"/>
  <c r="Q48" i="37"/>
  <c r="AJ61" i="16"/>
  <c r="R129" i="37"/>
  <c r="R208" i="37" s="1"/>
  <c r="AI54" i="16"/>
  <c r="R28" i="37" s="1"/>
  <c r="AJ56" i="16"/>
  <c r="S29" i="37" s="1"/>
  <c r="BG91" i="17"/>
  <c r="AV59" i="14"/>
  <c r="AL328" i="14"/>
  <c r="AL326" i="14"/>
  <c r="AL322" i="14"/>
  <c r="AL318" i="14"/>
  <c r="AL325" i="14"/>
  <c r="AL321" i="14"/>
  <c r="AL317" i="14"/>
  <c r="AL324" i="14"/>
  <c r="AL320" i="14"/>
  <c r="AL323" i="14"/>
  <c r="AL316" i="14"/>
  <c r="AL319" i="14"/>
  <c r="AL327" i="14"/>
  <c r="AL315" i="14"/>
  <c r="AF150" i="19"/>
  <c r="AT250" i="17"/>
  <c r="AV8" i="19"/>
  <c r="AV12" i="19" s="1"/>
  <c r="AL228" i="14"/>
  <c r="AU12" i="17"/>
  <c r="AV8" i="17"/>
  <c r="AV9" i="17"/>
  <c r="AV10" i="17"/>
  <c r="AV11" i="17"/>
  <c r="AW57" i="14"/>
  <c r="AW15" i="19" s="1"/>
  <c r="AV15" i="17"/>
  <c r="AU251" i="17" s="1"/>
  <c r="AX58" i="14"/>
  <c r="AX16" i="19" s="1"/>
  <c r="AW16" i="17"/>
  <c r="AV54" i="14"/>
  <c r="AW51" i="14"/>
  <c r="AW9" i="19" s="1"/>
  <c r="AW53" i="14"/>
  <c r="AW11" i="19" s="1"/>
  <c r="AW52" i="14"/>
  <c r="AW10" i="19" s="1"/>
  <c r="AW50" i="14"/>
  <c r="AM215" i="14"/>
  <c r="Q53" i="37" l="1"/>
  <c r="Q54" i="37" s="1"/>
  <c r="AG149" i="19"/>
  <c r="Q206" i="37"/>
  <c r="Q212" i="37" s="1"/>
  <c r="Q213" i="37" s="1"/>
  <c r="Q133" i="37"/>
  <c r="Q134" i="37" s="1"/>
  <c r="AJ63" i="8"/>
  <c r="AI96" i="19"/>
  <c r="S30" i="37"/>
  <c r="S49" i="37" s="1"/>
  <c r="R47" i="37"/>
  <c r="R34" i="37"/>
  <c r="R35" i="37" s="1"/>
  <c r="AH136" i="19"/>
  <c r="AH137" i="19"/>
  <c r="AH135" i="19"/>
  <c r="R205" i="37"/>
  <c r="AK55" i="16"/>
  <c r="R127" i="37"/>
  <c r="R128" i="37"/>
  <c r="R207" i="37" s="1"/>
  <c r="R48" i="37"/>
  <c r="AK61" i="16"/>
  <c r="S129" i="37"/>
  <c r="S208" i="37" s="1"/>
  <c r="AK56" i="16"/>
  <c r="AJ54" i="16"/>
  <c r="S28" i="37" s="1"/>
  <c r="BH91" i="17"/>
  <c r="AM325" i="14"/>
  <c r="AM321" i="14"/>
  <c r="AM324" i="14"/>
  <c r="AM320" i="14"/>
  <c r="AM323" i="14"/>
  <c r="AM317" i="14"/>
  <c r="AM328" i="14"/>
  <c r="AM322" i="14"/>
  <c r="AM316" i="14"/>
  <c r="AM327" i="14"/>
  <c r="AM319" i="14"/>
  <c r="AM326" i="14"/>
  <c r="AM315" i="14"/>
  <c r="AM318" i="14"/>
  <c r="AG150" i="19"/>
  <c r="AW8" i="19"/>
  <c r="AW12" i="19" s="1"/>
  <c r="AU250" i="17"/>
  <c r="AM228" i="14"/>
  <c r="AW59" i="14"/>
  <c r="AW10" i="17"/>
  <c r="AV12" i="17"/>
  <c r="AW9" i="17"/>
  <c r="AW8" i="17"/>
  <c r="AW11" i="17"/>
  <c r="AX16" i="17"/>
  <c r="AX57" i="14"/>
  <c r="AX15" i="19" s="1"/>
  <c r="AW15" i="17"/>
  <c r="AV251" i="17" s="1"/>
  <c r="AX50" i="14"/>
  <c r="AX53" i="14"/>
  <c r="AX11" i="19" s="1"/>
  <c r="AW54" i="14"/>
  <c r="AX52" i="14"/>
  <c r="AX10" i="19" s="1"/>
  <c r="AX51" i="14"/>
  <c r="AX9" i="19" s="1"/>
  <c r="AN215" i="14"/>
  <c r="AL56" i="16" l="1"/>
  <c r="T29" i="37"/>
  <c r="AL61" i="16"/>
  <c r="T30" i="37"/>
  <c r="AL55" i="16"/>
  <c r="T126" i="37"/>
  <c r="AH149" i="19"/>
  <c r="R206" i="37"/>
  <c r="R212" i="37" s="1"/>
  <c r="R213" i="37" s="1"/>
  <c r="R133" i="37"/>
  <c r="R134" i="37" s="1"/>
  <c r="AK63" i="8"/>
  <c r="AJ96" i="19"/>
  <c r="S47" i="37"/>
  <c r="S34" i="37"/>
  <c r="S35" i="37" s="1"/>
  <c r="R53" i="37"/>
  <c r="R54" i="37" s="1"/>
  <c r="AI136" i="19"/>
  <c r="AI137" i="19"/>
  <c r="AI135" i="19"/>
  <c r="S205" i="37"/>
  <c r="AK54" i="16"/>
  <c r="S128" i="37"/>
  <c r="S207" i="37" s="1"/>
  <c r="S48" i="37"/>
  <c r="BI91" i="17"/>
  <c r="AN328" i="14"/>
  <c r="AN324" i="14"/>
  <c r="AN320" i="14"/>
  <c r="AN327" i="14"/>
  <c r="AN323" i="14"/>
  <c r="AN319" i="14"/>
  <c r="AN322" i="14"/>
  <c r="AN316" i="14"/>
  <c r="AN326" i="14"/>
  <c r="AN318" i="14"/>
  <c r="AN321" i="14"/>
  <c r="AN315" i="14"/>
  <c r="AN317" i="14"/>
  <c r="AN325" i="14"/>
  <c r="AH150" i="19"/>
  <c r="AX8" i="19"/>
  <c r="AX12" i="19" s="1"/>
  <c r="AV250" i="17"/>
  <c r="AN228" i="14"/>
  <c r="AW12" i="17"/>
  <c r="AX9" i="17"/>
  <c r="AX10" i="17"/>
  <c r="AX15" i="17"/>
  <c r="AW251" i="17" s="1"/>
  <c r="AX8" i="17"/>
  <c r="AX11" i="17"/>
  <c r="AX59" i="14"/>
  <c r="AX54" i="14"/>
  <c r="AO215" i="14"/>
  <c r="T129" i="37" l="1"/>
  <c r="T208" i="37" s="1"/>
  <c r="T49" i="37"/>
  <c r="AM61" i="16"/>
  <c r="U30" i="37"/>
  <c r="AL54" i="16"/>
  <c r="T28" i="37"/>
  <c r="AI149" i="19"/>
  <c r="T205" i="37"/>
  <c r="T128" i="37"/>
  <c r="T207" i="37" s="1"/>
  <c r="T48" i="37"/>
  <c r="AM55" i="16"/>
  <c r="U126" i="37"/>
  <c r="AM56" i="16"/>
  <c r="U29" i="37"/>
  <c r="AL63" i="8"/>
  <c r="AK96" i="19"/>
  <c r="S53" i="37"/>
  <c r="AJ136" i="19"/>
  <c r="AJ137" i="19"/>
  <c r="AJ135" i="19"/>
  <c r="S127" i="37"/>
  <c r="S133" i="37" s="1"/>
  <c r="S134" i="37" s="1"/>
  <c r="C34" i="37"/>
  <c r="C35" i="37"/>
  <c r="AO327" i="14"/>
  <c r="AO323" i="14"/>
  <c r="AO319" i="14"/>
  <c r="AO326" i="14"/>
  <c r="AO322" i="14"/>
  <c r="AO318" i="14"/>
  <c r="AO328" i="14"/>
  <c r="AO321" i="14"/>
  <c r="AO315" i="14"/>
  <c r="AO317" i="14"/>
  <c r="AO320" i="14"/>
  <c r="AO325" i="14"/>
  <c r="AO316" i="14"/>
  <c r="AO324" i="14"/>
  <c r="AI150" i="19"/>
  <c r="AW250" i="17"/>
  <c r="AO228" i="14"/>
  <c r="AX12" i="17"/>
  <c r="AP215" i="14"/>
  <c r="AN55" i="16" l="1"/>
  <c r="AO55" i="16" s="1"/>
  <c r="AP55" i="16" s="1"/>
  <c r="AQ55" i="16" s="1"/>
  <c r="AR55" i="16" s="1"/>
  <c r="AS55" i="16" s="1"/>
  <c r="AT55" i="16" s="1"/>
  <c r="AU55" i="16" s="1"/>
  <c r="AV55" i="16" s="1"/>
  <c r="AW55" i="16" s="1"/>
  <c r="AX55" i="16" s="1"/>
  <c r="AY55" i="16" s="1"/>
  <c r="AZ55" i="16" s="1"/>
  <c r="BA55" i="16" s="1"/>
  <c r="BB55" i="16" s="1"/>
  <c r="BC55" i="16" s="1"/>
  <c r="BD55" i="16" s="1"/>
  <c r="BE55" i="16" s="1"/>
  <c r="BF55" i="16" s="1"/>
  <c r="BG55" i="16" s="1"/>
  <c r="BH55" i="16" s="1"/>
  <c r="BI55" i="16" s="1"/>
  <c r="V126" i="37"/>
  <c r="U129" i="37"/>
  <c r="U208" i="37" s="1"/>
  <c r="U49" i="37"/>
  <c r="U128" i="37"/>
  <c r="U207" i="37" s="1"/>
  <c r="U48" i="37"/>
  <c r="AN61" i="16"/>
  <c r="AO61" i="16" s="1"/>
  <c r="AP61" i="16" s="1"/>
  <c r="AQ61" i="16" s="1"/>
  <c r="AR61" i="16" s="1"/>
  <c r="AS61" i="16" s="1"/>
  <c r="AT61" i="16" s="1"/>
  <c r="AU61" i="16" s="1"/>
  <c r="AV61" i="16" s="1"/>
  <c r="AW61" i="16" s="1"/>
  <c r="AX61" i="16" s="1"/>
  <c r="AY61" i="16" s="1"/>
  <c r="AZ61" i="16" s="1"/>
  <c r="BA61" i="16" s="1"/>
  <c r="BB61" i="16" s="1"/>
  <c r="BC61" i="16" s="1"/>
  <c r="BD61" i="16" s="1"/>
  <c r="BE61" i="16" s="1"/>
  <c r="BF61" i="16" s="1"/>
  <c r="BG61" i="16" s="1"/>
  <c r="BH61" i="16" s="1"/>
  <c r="BI61" i="16" s="1"/>
  <c r="V30" i="37"/>
  <c r="AN56" i="16"/>
  <c r="AO56" i="16" s="1"/>
  <c r="AP56" i="16" s="1"/>
  <c r="AQ56" i="16" s="1"/>
  <c r="AR56" i="16" s="1"/>
  <c r="AS56" i="16" s="1"/>
  <c r="AT56" i="16" s="1"/>
  <c r="AU56" i="16" s="1"/>
  <c r="AV56" i="16" s="1"/>
  <c r="AW56" i="16" s="1"/>
  <c r="AX56" i="16" s="1"/>
  <c r="AY56" i="16" s="1"/>
  <c r="AZ56" i="16" s="1"/>
  <c r="BA56" i="16" s="1"/>
  <c r="BB56" i="16" s="1"/>
  <c r="BC56" i="16" s="1"/>
  <c r="BD56" i="16" s="1"/>
  <c r="BE56" i="16" s="1"/>
  <c r="BF56" i="16" s="1"/>
  <c r="BG56" i="16" s="1"/>
  <c r="BH56" i="16" s="1"/>
  <c r="BI56" i="16" s="1"/>
  <c r="V29" i="37"/>
  <c r="T127" i="37"/>
  <c r="T47" i="37"/>
  <c r="T53" i="37" s="1"/>
  <c r="T54" i="37" s="1"/>
  <c r="T34" i="37"/>
  <c r="T35" i="37" s="1"/>
  <c r="U205" i="37"/>
  <c r="AM54" i="16"/>
  <c r="U28" i="37"/>
  <c r="S54" i="37"/>
  <c r="C54" i="37" s="1"/>
  <c r="AJ149" i="19"/>
  <c r="AK137" i="19"/>
  <c r="AK136" i="19"/>
  <c r="AK135" i="19"/>
  <c r="AM63" i="8"/>
  <c r="AL96" i="19"/>
  <c r="C53" i="37"/>
  <c r="S206" i="37"/>
  <c r="S212" i="37" s="1"/>
  <c r="S213" i="37" s="1"/>
  <c r="C133" i="37"/>
  <c r="AP326" i="14"/>
  <c r="AP322" i="14"/>
  <c r="AP318" i="14"/>
  <c r="AP328" i="14"/>
  <c r="AP325" i="14"/>
  <c r="AP321" i="14"/>
  <c r="AP317" i="14"/>
  <c r="AP320" i="14"/>
  <c r="AP316" i="14"/>
  <c r="AP327" i="14"/>
  <c r="AP319" i="14"/>
  <c r="AP324" i="14"/>
  <c r="AP315" i="14"/>
  <c r="AP323" i="14"/>
  <c r="AJ150" i="19"/>
  <c r="AP228" i="14"/>
  <c r="AQ215" i="14"/>
  <c r="AK149" i="19" l="1"/>
  <c r="V129" i="37"/>
  <c r="V208" i="37" s="1"/>
  <c r="V49" i="37"/>
  <c r="T206" i="37"/>
  <c r="T212" i="37" s="1"/>
  <c r="T213" i="37" s="1"/>
  <c r="T133" i="37"/>
  <c r="T134" i="37" s="1"/>
  <c r="U127" i="37"/>
  <c r="U47" i="37"/>
  <c r="U53" i="37" s="1"/>
  <c r="U54" i="37" s="1"/>
  <c r="U34" i="37"/>
  <c r="U35" i="37" s="1"/>
  <c r="V128" i="37"/>
  <c r="V207" i="37" s="1"/>
  <c r="V48" i="37"/>
  <c r="V205" i="37"/>
  <c r="AN54" i="16"/>
  <c r="AO54" i="16" s="1"/>
  <c r="AP54" i="16" s="1"/>
  <c r="AQ54" i="16" s="1"/>
  <c r="AR54" i="16" s="1"/>
  <c r="AS54" i="16" s="1"/>
  <c r="AT54" i="16" s="1"/>
  <c r="AU54" i="16" s="1"/>
  <c r="AV54" i="16" s="1"/>
  <c r="AW54" i="16" s="1"/>
  <c r="AX54" i="16" s="1"/>
  <c r="AY54" i="16" s="1"/>
  <c r="AZ54" i="16" s="1"/>
  <c r="BA54" i="16" s="1"/>
  <c r="BB54" i="16" s="1"/>
  <c r="BC54" i="16" s="1"/>
  <c r="BD54" i="16" s="1"/>
  <c r="BE54" i="16" s="1"/>
  <c r="BF54" i="16" s="1"/>
  <c r="BG54" i="16" s="1"/>
  <c r="BH54" i="16" s="1"/>
  <c r="BI54" i="16" s="1"/>
  <c r="V28" i="37"/>
  <c r="AL137" i="19"/>
  <c r="AL136" i="19"/>
  <c r="AL135" i="19"/>
  <c r="AN63" i="8"/>
  <c r="AM96" i="19"/>
  <c r="C134" i="37"/>
  <c r="C212" i="37"/>
  <c r="C213" i="37"/>
  <c r="AQ328" i="14"/>
  <c r="AQ325" i="14"/>
  <c r="AQ321" i="14"/>
  <c r="AQ324" i="14"/>
  <c r="AQ320" i="14"/>
  <c r="AQ327" i="14"/>
  <c r="AQ319" i="14"/>
  <c r="AQ323" i="14"/>
  <c r="AQ326" i="14"/>
  <c r="AQ318" i="14"/>
  <c r="AQ317" i="14"/>
  <c r="AQ316" i="14"/>
  <c r="AQ322" i="14"/>
  <c r="AQ315" i="14"/>
  <c r="AK150" i="19"/>
  <c r="AQ228" i="14"/>
  <c r="AR215" i="14"/>
  <c r="C3" i="37" l="1"/>
  <c r="F4" i="37" s="1"/>
  <c r="V127" i="37"/>
  <c r="V47" i="37"/>
  <c r="V53" i="37" s="1"/>
  <c r="V54" i="37" s="1"/>
  <c r="V34" i="37"/>
  <c r="V35" i="37" s="1"/>
  <c r="U206" i="37"/>
  <c r="U212" i="37" s="1"/>
  <c r="U213" i="37" s="1"/>
  <c r="U133" i="37"/>
  <c r="U134" i="37" s="1"/>
  <c r="AL149" i="19"/>
  <c r="AO63" i="8"/>
  <c r="AN96" i="19"/>
  <c r="AM137" i="19"/>
  <c r="AM136" i="19"/>
  <c r="AM135" i="19"/>
  <c r="AR328" i="14"/>
  <c r="AR324" i="14"/>
  <c r="AR320" i="14"/>
  <c r="AR327" i="14"/>
  <c r="AR323" i="14"/>
  <c r="AR319" i="14"/>
  <c r="AR326" i="14"/>
  <c r="AR318" i="14"/>
  <c r="AR317" i="14"/>
  <c r="AR316" i="14"/>
  <c r="AR325" i="14"/>
  <c r="AR315" i="14"/>
  <c r="AR322" i="14"/>
  <c r="AR321" i="14"/>
  <c r="AL150" i="19"/>
  <c r="AR228" i="14"/>
  <c r="AS215" i="14"/>
  <c r="AM149" i="19" l="1"/>
  <c r="V206" i="37"/>
  <c r="V212" i="37" s="1"/>
  <c r="V213" i="37" s="1"/>
  <c r="V133" i="37"/>
  <c r="V134" i="37" s="1"/>
  <c r="AN137" i="19"/>
  <c r="AN136" i="19"/>
  <c r="AN135" i="19"/>
  <c r="AN149" i="19" s="1"/>
  <c r="AP63" i="8"/>
  <c r="AO96" i="19"/>
  <c r="AS327" i="14"/>
  <c r="AS323" i="14"/>
  <c r="AS319" i="14"/>
  <c r="AS326" i="14"/>
  <c r="AS322" i="14"/>
  <c r="AS318" i="14"/>
  <c r="AS325" i="14"/>
  <c r="AS315" i="14"/>
  <c r="AS321" i="14"/>
  <c r="AS324" i="14"/>
  <c r="AS316" i="14"/>
  <c r="AS328" i="14"/>
  <c r="AS320" i="14"/>
  <c r="AS317" i="14"/>
  <c r="AM150" i="19"/>
  <c r="AS228" i="14"/>
  <c r="AT215" i="14"/>
  <c r="AQ63" i="8" l="1"/>
  <c r="AP96" i="19"/>
  <c r="AO136" i="19"/>
  <c r="AO137" i="19"/>
  <c r="AO135" i="19"/>
  <c r="AT326" i="14"/>
  <c r="AT322" i="14"/>
  <c r="AT318" i="14"/>
  <c r="AT325" i="14"/>
  <c r="AT321" i="14"/>
  <c r="AT317" i="14"/>
  <c r="AT324" i="14"/>
  <c r="AT328" i="14"/>
  <c r="AT323" i="14"/>
  <c r="AT320" i="14"/>
  <c r="AT316" i="14"/>
  <c r="AT315" i="14"/>
  <c r="AT327" i="14"/>
  <c r="AT319" i="14"/>
  <c r="AN150" i="19"/>
  <c r="AT228" i="14"/>
  <c r="AU215" i="14"/>
  <c r="AO149" i="19" l="1"/>
  <c r="AP137" i="19"/>
  <c r="AP136" i="19"/>
  <c r="AP135" i="19"/>
  <c r="AP149" i="19" s="1"/>
  <c r="AR63" i="8"/>
  <c r="AQ96" i="19"/>
  <c r="AU325" i="14"/>
  <c r="AU321" i="14"/>
  <c r="AU328" i="14"/>
  <c r="AU324" i="14"/>
  <c r="AU320" i="14"/>
  <c r="AU323" i="14"/>
  <c r="AU327" i="14"/>
  <c r="AU319" i="14"/>
  <c r="AU322" i="14"/>
  <c r="AU316" i="14"/>
  <c r="AU317" i="14"/>
  <c r="AU318" i="14"/>
  <c r="AU315" i="14"/>
  <c r="AU326" i="14"/>
  <c r="AO150" i="19"/>
  <c r="AU228" i="14"/>
  <c r="AV215" i="14"/>
  <c r="AS63" i="8" l="1"/>
  <c r="AR96" i="19"/>
  <c r="AQ137" i="19"/>
  <c r="AQ136" i="19"/>
  <c r="AQ149" i="19" s="1"/>
  <c r="AQ135" i="19"/>
  <c r="AV328" i="14"/>
  <c r="AV324" i="14"/>
  <c r="AV320" i="14"/>
  <c r="AV327" i="14"/>
  <c r="AV323" i="14"/>
  <c r="AV319" i="14"/>
  <c r="AV322" i="14"/>
  <c r="AV316" i="14"/>
  <c r="AV321" i="14"/>
  <c r="AV317" i="14"/>
  <c r="AV315" i="14"/>
  <c r="AV326" i="14"/>
  <c r="AV318" i="14"/>
  <c r="AV325" i="14"/>
  <c r="AP150" i="19"/>
  <c r="AV228" i="14"/>
  <c r="AW215" i="14"/>
  <c r="AR136" i="19" l="1"/>
  <c r="AR137" i="19"/>
  <c r="AR135" i="19"/>
  <c r="AR149" i="19" s="1"/>
  <c r="AT63" i="8"/>
  <c r="AS96" i="19"/>
  <c r="AW328" i="14"/>
  <c r="AW327" i="14"/>
  <c r="AW323" i="14"/>
  <c r="AW319" i="14"/>
  <c r="AW326" i="14"/>
  <c r="AW322" i="14"/>
  <c r="AW318" i="14"/>
  <c r="AW321" i="14"/>
  <c r="AW317" i="14"/>
  <c r="AW315" i="14"/>
  <c r="AW325" i="14"/>
  <c r="AW320" i="14"/>
  <c r="AW324" i="14"/>
  <c r="AW316" i="14"/>
  <c r="AQ150" i="19"/>
  <c r="AW228" i="14"/>
  <c r="AX215" i="14"/>
  <c r="AU63" i="8" l="1"/>
  <c r="AT96" i="19"/>
  <c r="AS136" i="19"/>
  <c r="AS137" i="19"/>
  <c r="AS135" i="19"/>
  <c r="AX326" i="14"/>
  <c r="AX322" i="14"/>
  <c r="AX318" i="14"/>
  <c r="AX325" i="14"/>
  <c r="AX321" i="14"/>
  <c r="AX317" i="14"/>
  <c r="AX320" i="14"/>
  <c r="AX324" i="14"/>
  <c r="AX316" i="14"/>
  <c r="AX328" i="14"/>
  <c r="AX327" i="14"/>
  <c r="AX319" i="14"/>
  <c r="AX323" i="14"/>
  <c r="AX315" i="14"/>
  <c r="AR150" i="19"/>
  <c r="AX228" i="14"/>
  <c r="AY215" i="14"/>
  <c r="AS149" i="19" l="1"/>
  <c r="AT137" i="19"/>
  <c r="AT136" i="19"/>
  <c r="AT135" i="19"/>
  <c r="AT149" i="19" s="1"/>
  <c r="AV63" i="8"/>
  <c r="AU96" i="19"/>
  <c r="AY325" i="14"/>
  <c r="AY321" i="14"/>
  <c r="AY324" i="14"/>
  <c r="AY320" i="14"/>
  <c r="AY328" i="14"/>
  <c r="AY327" i="14"/>
  <c r="AY319" i="14"/>
  <c r="AY326" i="14"/>
  <c r="AY318" i="14"/>
  <c r="AY316" i="14"/>
  <c r="AY323" i="14"/>
  <c r="AY317" i="14"/>
  <c r="AY315" i="14"/>
  <c r="AY322" i="14"/>
  <c r="AS150" i="19"/>
  <c r="AY228" i="14"/>
  <c r="AZ215" i="14"/>
  <c r="AW63" i="8" l="1"/>
  <c r="AV96" i="19"/>
  <c r="AU137" i="19"/>
  <c r="AU136" i="19"/>
  <c r="AU149" i="19" s="1"/>
  <c r="AU135" i="19"/>
  <c r="AZ328" i="14"/>
  <c r="AZ324" i="14"/>
  <c r="AZ320" i="14"/>
  <c r="AZ327" i="14"/>
  <c r="AZ323" i="14"/>
  <c r="AZ319" i="14"/>
  <c r="AZ326" i="14"/>
  <c r="AZ318" i="14"/>
  <c r="AZ316" i="14"/>
  <c r="AZ322" i="14"/>
  <c r="AZ317" i="14"/>
  <c r="AZ325" i="14"/>
  <c r="AZ315" i="14"/>
  <c r="AZ321" i="14"/>
  <c r="AT150" i="19"/>
  <c r="AZ228" i="14"/>
  <c r="BA215" i="14"/>
  <c r="AV137" i="19" l="1"/>
  <c r="AV136" i="19"/>
  <c r="AV135" i="19"/>
  <c r="AV149" i="19" s="1"/>
  <c r="AX63" i="8"/>
  <c r="AW96" i="19"/>
  <c r="BA327" i="14"/>
  <c r="BA323" i="14"/>
  <c r="BA319" i="14"/>
  <c r="BA328" i="14"/>
  <c r="BA326" i="14"/>
  <c r="BA322" i="14"/>
  <c r="BA318" i="14"/>
  <c r="BA325" i="14"/>
  <c r="BA315" i="14"/>
  <c r="BA324" i="14"/>
  <c r="BA317" i="14"/>
  <c r="BA321" i="14"/>
  <c r="BA320" i="14"/>
  <c r="BA316" i="14"/>
  <c r="AU150" i="19"/>
  <c r="BA228" i="14"/>
  <c r="BB215" i="14"/>
  <c r="AY63" i="8" l="1"/>
  <c r="AX96" i="19"/>
  <c r="AW137" i="19"/>
  <c r="AW136" i="19"/>
  <c r="AW149" i="19" s="1"/>
  <c r="AW135" i="19"/>
  <c r="BB328" i="14"/>
  <c r="BB326" i="14"/>
  <c r="BB322" i="14"/>
  <c r="BB318" i="14"/>
  <c r="BB325" i="14"/>
  <c r="BB321" i="14"/>
  <c r="BB317" i="14"/>
  <c r="BB324" i="14"/>
  <c r="BB320" i="14"/>
  <c r="BB323" i="14"/>
  <c r="BB316" i="14"/>
  <c r="BB327" i="14"/>
  <c r="BB315" i="14"/>
  <c r="BB319" i="14"/>
  <c r="AV150" i="19"/>
  <c r="BB228" i="14"/>
  <c r="BC215" i="14"/>
  <c r="AX136" i="19" l="1"/>
  <c r="AX137" i="19"/>
  <c r="AX135" i="19"/>
  <c r="AX149" i="19" s="1"/>
  <c r="AZ63" i="8"/>
  <c r="AY96" i="19"/>
  <c r="BC325" i="14"/>
  <c r="BC321" i="14"/>
  <c r="BC324" i="14"/>
  <c r="BC320" i="14"/>
  <c r="BC323" i="14"/>
  <c r="BC317" i="14"/>
  <c r="BC322" i="14"/>
  <c r="BC316" i="14"/>
  <c r="BC327" i="14"/>
  <c r="BC319" i="14"/>
  <c r="BC315" i="14"/>
  <c r="BC318" i="14"/>
  <c r="BC328" i="14"/>
  <c r="BC326" i="14"/>
  <c r="AW150" i="19"/>
  <c r="BC228" i="14"/>
  <c r="BD215" i="14"/>
  <c r="AZ96" i="19" l="1"/>
  <c r="BA63" i="8"/>
  <c r="AY137" i="19"/>
  <c r="AY136" i="19"/>
  <c r="AY149" i="19" s="1"/>
  <c r="AY135" i="19"/>
  <c r="BD328" i="14"/>
  <c r="BD324" i="14"/>
  <c r="BD320" i="14"/>
  <c r="BD327" i="14"/>
  <c r="BD323" i="14"/>
  <c r="BD319" i="14"/>
  <c r="BD322" i="14"/>
  <c r="BD316" i="14"/>
  <c r="BD326" i="14"/>
  <c r="BD318" i="14"/>
  <c r="BD321" i="14"/>
  <c r="BD315" i="14"/>
  <c r="BD317" i="14"/>
  <c r="BD325" i="14"/>
  <c r="AX150" i="19"/>
  <c r="BD228" i="14"/>
  <c r="BE215" i="14"/>
  <c r="BA96" i="19" l="1"/>
  <c r="BB63" i="8"/>
  <c r="AZ136" i="19"/>
  <c r="AZ149" i="19" s="1"/>
  <c r="AZ137" i="19"/>
  <c r="AZ135" i="19"/>
  <c r="BE327" i="14"/>
  <c r="BE323" i="14"/>
  <c r="BE319" i="14"/>
  <c r="BE326" i="14"/>
  <c r="BE322" i="14"/>
  <c r="BE318" i="14"/>
  <c r="BE321" i="14"/>
  <c r="BE315" i="14"/>
  <c r="BE320" i="14"/>
  <c r="BE328" i="14"/>
  <c r="BE325" i="14"/>
  <c r="BE317" i="14"/>
  <c r="BE324" i="14"/>
  <c r="BE316" i="14"/>
  <c r="AY150" i="19"/>
  <c r="BE228" i="14"/>
  <c r="BF215" i="14"/>
  <c r="BB96" i="19" l="1"/>
  <c r="BC63" i="8"/>
  <c r="BA136" i="19"/>
  <c r="BA149" i="19" s="1"/>
  <c r="BA137" i="19"/>
  <c r="BA135" i="19"/>
  <c r="BF327" i="14"/>
  <c r="BF326" i="14"/>
  <c r="BF322" i="14"/>
  <c r="BF318" i="14"/>
  <c r="BF328" i="14"/>
  <c r="BF325" i="14"/>
  <c r="BF321" i="14"/>
  <c r="BF317" i="14"/>
  <c r="BF320" i="14"/>
  <c r="BF316" i="14"/>
  <c r="BF319" i="14"/>
  <c r="BF324" i="14"/>
  <c r="BF315" i="14"/>
  <c r="BF323" i="14"/>
  <c r="AZ150" i="19"/>
  <c r="BF228" i="14"/>
  <c r="BG215" i="14"/>
  <c r="BC96" i="19" l="1"/>
  <c r="BD63" i="8"/>
  <c r="BB136" i="19"/>
  <c r="BB149" i="19" s="1"/>
  <c r="BB137" i="19"/>
  <c r="BB135" i="19"/>
  <c r="BG328" i="14"/>
  <c r="BG325" i="14"/>
  <c r="BG321" i="14"/>
  <c r="BG317" i="14"/>
  <c r="BG324" i="14"/>
  <c r="BG320" i="14"/>
  <c r="BG319" i="14"/>
  <c r="BG323" i="14"/>
  <c r="BG327" i="14"/>
  <c r="BG326" i="14"/>
  <c r="BG318" i="14"/>
  <c r="BG316" i="14"/>
  <c r="BG322" i="14"/>
  <c r="BG315" i="14"/>
  <c r="BA150" i="19"/>
  <c r="BG228" i="14"/>
  <c r="BH215" i="14"/>
  <c r="BD96" i="19" l="1"/>
  <c r="BE63" i="8"/>
  <c r="BC137" i="19"/>
  <c r="BC136" i="19"/>
  <c r="BC135" i="19"/>
  <c r="BH328" i="14"/>
  <c r="BH324" i="14"/>
  <c r="BH320" i="14"/>
  <c r="BH323" i="14"/>
  <c r="BH319" i="14"/>
  <c r="BH327" i="14"/>
  <c r="BH326" i="14"/>
  <c r="BH318" i="14"/>
  <c r="BH316" i="14"/>
  <c r="BH325" i="14"/>
  <c r="BH317" i="14"/>
  <c r="BH315" i="14"/>
  <c r="BH322" i="14"/>
  <c r="BH321" i="14"/>
  <c r="BB150" i="19"/>
  <c r="BH228" i="14"/>
  <c r="BI215" i="14"/>
  <c r="BC149" i="19" l="1"/>
  <c r="BE96" i="19"/>
  <c r="BF63" i="8"/>
  <c r="BD137" i="19"/>
  <c r="BD136" i="19"/>
  <c r="BD135" i="19"/>
  <c r="BI327" i="14"/>
  <c r="BI323" i="14"/>
  <c r="BI319" i="14"/>
  <c r="BI326" i="14"/>
  <c r="BI322" i="14"/>
  <c r="BI318" i="14"/>
  <c r="BI325" i="14"/>
  <c r="BI317" i="14"/>
  <c r="BI315" i="14"/>
  <c r="BI321" i="14"/>
  <c r="BI328" i="14"/>
  <c r="BI324" i="14"/>
  <c r="BI320" i="14"/>
  <c r="BI316" i="14"/>
  <c r="BC150" i="19"/>
  <c r="BI228" i="14"/>
  <c r="BD149" i="19" l="1"/>
  <c r="BF96" i="19"/>
  <c r="BG63" i="8"/>
  <c r="BE136" i="19"/>
  <c r="BE137" i="19"/>
  <c r="BE135" i="19"/>
  <c r="BD150" i="19"/>
  <c r="BE149" i="19" l="1"/>
  <c r="BG96" i="19"/>
  <c r="BH63" i="8"/>
  <c r="BF136" i="19"/>
  <c r="BF149" i="19" s="1"/>
  <c r="BF137" i="19"/>
  <c r="BF135" i="19"/>
  <c r="BE150" i="19"/>
  <c r="BI63" i="8" l="1"/>
  <c r="BI96" i="19" s="1"/>
  <c r="BH96" i="19"/>
  <c r="BG137" i="19"/>
  <c r="BG136" i="19"/>
  <c r="BG149" i="19" s="1"/>
  <c r="BG135" i="19"/>
  <c r="BF150" i="19"/>
  <c r="BH136" i="19" l="1"/>
  <c r="BH137" i="19"/>
  <c r="BH135" i="19"/>
  <c r="BI137" i="19"/>
  <c r="BI136" i="19"/>
  <c r="BI135" i="19"/>
  <c r="BG150" i="19"/>
  <c r="BI149" i="19"/>
  <c r="BH149" i="19" l="1"/>
  <c r="BI150" i="19"/>
  <c r="BH150" i="19"/>
  <c r="U286" i="14"/>
  <c r="Y286" i="14"/>
  <c r="AC286" i="14"/>
  <c r="AG286" i="14"/>
  <c r="AK286" i="14"/>
  <c r="AO286" i="14"/>
  <c r="AS286" i="14"/>
  <c r="AW286" i="14"/>
  <c r="BA286" i="14"/>
  <c r="BE286" i="14"/>
  <c r="AD286" i="14"/>
  <c r="AL286" i="14"/>
  <c r="AT286" i="14"/>
  <c r="BB286" i="14"/>
  <c r="BF286" i="14"/>
  <c r="AI286" i="14"/>
  <c r="AY286" i="14"/>
  <c r="X286" i="14"/>
  <c r="AJ286" i="14"/>
  <c r="AR286" i="14"/>
  <c r="AZ286" i="14"/>
  <c r="V286" i="14"/>
  <c r="Z286" i="14"/>
  <c r="AH286" i="14"/>
  <c r="AP286" i="14"/>
  <c r="AX286" i="14"/>
  <c r="BI286" i="14"/>
  <c r="AQ286" i="14"/>
  <c r="BC286" i="14"/>
  <c r="AB286" i="14"/>
  <c r="AN286" i="14"/>
  <c r="BD286" i="14"/>
  <c r="W286" i="14"/>
  <c r="AA286" i="14"/>
  <c r="AE286" i="14"/>
  <c r="AM286" i="14"/>
  <c r="AU286" i="14"/>
  <c r="BG286" i="14"/>
  <c r="AF286" i="14"/>
  <c r="AV286" i="14"/>
  <c r="BH286" i="14"/>
  <c r="AG308" i="14" l="1"/>
  <c r="AG304" i="14"/>
  <c r="AG306" i="14"/>
  <c r="AG301" i="14"/>
  <c r="AG303" i="14"/>
  <c r="AG310" i="14"/>
  <c r="AG313" i="14"/>
  <c r="AG305" i="14"/>
  <c r="AG300" i="14"/>
  <c r="AG302" i="14"/>
  <c r="AG307" i="14"/>
  <c r="AG309" i="14"/>
  <c r="AG312" i="14"/>
  <c r="AG311" i="14"/>
  <c r="BD310" i="14"/>
  <c r="BD305" i="14"/>
  <c r="BD312" i="14"/>
  <c r="BD301" i="14"/>
  <c r="BD306" i="14"/>
  <c r="BD311" i="14"/>
  <c r="BD304" i="14"/>
  <c r="BD307" i="14"/>
  <c r="BD300" i="14"/>
  <c r="BD302" i="14"/>
  <c r="BD308" i="14"/>
  <c r="BD309" i="14"/>
  <c r="BD313" i="14"/>
  <c r="BD303" i="14"/>
  <c r="AR310" i="14"/>
  <c r="AR311" i="14"/>
  <c r="AR305" i="14"/>
  <c r="AR304" i="14"/>
  <c r="AR313" i="14"/>
  <c r="AR302" i="14"/>
  <c r="AR303" i="14"/>
  <c r="AR309" i="14"/>
  <c r="AR306" i="14"/>
  <c r="AR308" i="14"/>
  <c r="AR301" i="14"/>
  <c r="AR312" i="14"/>
  <c r="AR300" i="14"/>
  <c r="AR307" i="14"/>
  <c r="AL312" i="14"/>
  <c r="AL313" i="14"/>
  <c r="AL309" i="14"/>
  <c r="AL301" i="14"/>
  <c r="AL308" i="14"/>
  <c r="AL306" i="14"/>
  <c r="AL305" i="14"/>
  <c r="AL310" i="14"/>
  <c r="AL300" i="14"/>
  <c r="AL311" i="14"/>
  <c r="AL304" i="14"/>
  <c r="AL307" i="14"/>
  <c r="AL303" i="14"/>
  <c r="AL302" i="14"/>
  <c r="AF310" i="14"/>
  <c r="AF311" i="14"/>
  <c r="AF301" i="14"/>
  <c r="AF307" i="14"/>
  <c r="AF313" i="14"/>
  <c r="AF303" i="14"/>
  <c r="AF305" i="14"/>
  <c r="AF306" i="14"/>
  <c r="AF302" i="14"/>
  <c r="AF312" i="14"/>
  <c r="AF308" i="14"/>
  <c r="AF300" i="14"/>
  <c r="AF309" i="14"/>
  <c r="AF304" i="14"/>
  <c r="AE303" i="14"/>
  <c r="AE302" i="14"/>
  <c r="AE306" i="14"/>
  <c r="AE305" i="14"/>
  <c r="AE308" i="14"/>
  <c r="AE311" i="14"/>
  <c r="AE312" i="14"/>
  <c r="AE300" i="14"/>
  <c r="AE304" i="14"/>
  <c r="AE307" i="14"/>
  <c r="AE309" i="14"/>
  <c r="AE313" i="14"/>
  <c r="AE310" i="14"/>
  <c r="AE301" i="14"/>
  <c r="AN310" i="14"/>
  <c r="AN311" i="14"/>
  <c r="AN307" i="14"/>
  <c r="AN308" i="14"/>
  <c r="AN305" i="14"/>
  <c r="AN300" i="14"/>
  <c r="AN309" i="14"/>
  <c r="AN306" i="14"/>
  <c r="AN302" i="14"/>
  <c r="AN304" i="14"/>
  <c r="AN303" i="14"/>
  <c r="AN312" i="14"/>
  <c r="AN313" i="14"/>
  <c r="AN301" i="14"/>
  <c r="BI313" i="14"/>
  <c r="BI308" i="14"/>
  <c r="BI301" i="14"/>
  <c r="BI309" i="14"/>
  <c r="BI310" i="14"/>
  <c r="BI306" i="14"/>
  <c r="BI303" i="14"/>
  <c r="BI305" i="14"/>
  <c r="BI311" i="14"/>
  <c r="BI304" i="14"/>
  <c r="BI312" i="14"/>
  <c r="BI307" i="14"/>
  <c r="BI300" i="14"/>
  <c r="BI302" i="14"/>
  <c r="Z306" i="14"/>
  <c r="Z302" i="14"/>
  <c r="Z301" i="14"/>
  <c r="Z303" i="14"/>
  <c r="Z300" i="14"/>
  <c r="Z312" i="14"/>
  <c r="Z309" i="14"/>
  <c r="Z311" i="14"/>
  <c r="Z305" i="14"/>
  <c r="Z313" i="14"/>
  <c r="Z308" i="14"/>
  <c r="Z304" i="14"/>
  <c r="Z307" i="14"/>
  <c r="Z310" i="14"/>
  <c r="AJ310" i="14"/>
  <c r="AJ311" i="14"/>
  <c r="AJ307" i="14"/>
  <c r="AJ300" i="14"/>
  <c r="AJ303" i="14"/>
  <c r="AJ308" i="14"/>
  <c r="AJ301" i="14"/>
  <c r="AJ309" i="14"/>
  <c r="AJ306" i="14"/>
  <c r="AJ312" i="14"/>
  <c r="AJ305" i="14"/>
  <c r="AJ304" i="14"/>
  <c r="AJ313" i="14"/>
  <c r="AJ302" i="14"/>
  <c r="BF312" i="14"/>
  <c r="BF313" i="14"/>
  <c r="BF303" i="14"/>
  <c r="BF306" i="14"/>
  <c r="BF308" i="14"/>
  <c r="BF304" i="14"/>
  <c r="BF302" i="14"/>
  <c r="BF311" i="14"/>
  <c r="BF300" i="14"/>
  <c r="BF305" i="14"/>
  <c r="BF310" i="14"/>
  <c r="BF307" i="14"/>
  <c r="BF309" i="14"/>
  <c r="BF301" i="14"/>
  <c r="AD311" i="14"/>
  <c r="AD304" i="14"/>
  <c r="AD309" i="14"/>
  <c r="AD312" i="14"/>
  <c r="AD310" i="14"/>
  <c r="AD306" i="14"/>
  <c r="AD300" i="14"/>
  <c r="AD302" i="14"/>
  <c r="AD307" i="14"/>
  <c r="AD303" i="14"/>
  <c r="AD301" i="14"/>
  <c r="AD313" i="14"/>
  <c r="AD305" i="14"/>
  <c r="AD308" i="14"/>
  <c r="AS313" i="14"/>
  <c r="AS311" i="14"/>
  <c r="AS306" i="14"/>
  <c r="AS303" i="14"/>
  <c r="AS301" i="14"/>
  <c r="AS309" i="14"/>
  <c r="AS307" i="14"/>
  <c r="AS304" i="14"/>
  <c r="AS312" i="14"/>
  <c r="AS305" i="14"/>
  <c r="AS300" i="14"/>
  <c r="AS310" i="14"/>
  <c r="AS302" i="14"/>
  <c r="AS308" i="14"/>
  <c r="AC313" i="14"/>
  <c r="AC301" i="14"/>
  <c r="AC308" i="14"/>
  <c r="AC310" i="14"/>
  <c r="AC306" i="14"/>
  <c r="AC305" i="14"/>
  <c r="AC303" i="14"/>
  <c r="AC300" i="14"/>
  <c r="AC311" i="14"/>
  <c r="AC309" i="14"/>
  <c r="AC312" i="14"/>
  <c r="AC302" i="14"/>
  <c r="AC307" i="14"/>
  <c r="AC304" i="14"/>
  <c r="AV310" i="14"/>
  <c r="AV311" i="14"/>
  <c r="AV301" i="14"/>
  <c r="AV300" i="14"/>
  <c r="AV306" i="14"/>
  <c r="AV302" i="14"/>
  <c r="AV313" i="14"/>
  <c r="AV312" i="14"/>
  <c r="AV308" i="14"/>
  <c r="AV303" i="14"/>
  <c r="AV309" i="14"/>
  <c r="AV305" i="14"/>
  <c r="AV304" i="14"/>
  <c r="AV307" i="14"/>
  <c r="AQ311" i="14"/>
  <c r="AQ312" i="14"/>
  <c r="AQ308" i="14"/>
  <c r="AQ304" i="14"/>
  <c r="AQ310" i="14"/>
  <c r="AQ301" i="14"/>
  <c r="AQ306" i="14"/>
  <c r="AQ307" i="14"/>
  <c r="AQ313" i="14"/>
  <c r="AQ302" i="14"/>
  <c r="AQ309" i="14"/>
  <c r="AQ305" i="14"/>
  <c r="AQ300" i="14"/>
  <c r="AQ303" i="14"/>
  <c r="AI311" i="14"/>
  <c r="AI312" i="14"/>
  <c r="AI302" i="14"/>
  <c r="AI300" i="14"/>
  <c r="AI305" i="14"/>
  <c r="AI303" i="14"/>
  <c r="AI306" i="14"/>
  <c r="AI308" i="14"/>
  <c r="AI313" i="14"/>
  <c r="AI304" i="14"/>
  <c r="AI307" i="14"/>
  <c r="AI309" i="14"/>
  <c r="AI301" i="14"/>
  <c r="AI310" i="14"/>
  <c r="BG311" i="14"/>
  <c r="BG312" i="14"/>
  <c r="BG308" i="14"/>
  <c r="BG300" i="14"/>
  <c r="BG307" i="14"/>
  <c r="BG313" i="14"/>
  <c r="BG302" i="14"/>
  <c r="BG304" i="14"/>
  <c r="BG310" i="14"/>
  <c r="BG309" i="14"/>
  <c r="BG305" i="14"/>
  <c r="BG306" i="14"/>
  <c r="BG303" i="14"/>
  <c r="BG301" i="14"/>
  <c r="AO313" i="14"/>
  <c r="AO305" i="14"/>
  <c r="AO304" i="14"/>
  <c r="AO311" i="14"/>
  <c r="AO310" i="14"/>
  <c r="AO309" i="14"/>
  <c r="AO301" i="14"/>
  <c r="AO300" i="14"/>
  <c r="AO312" i="14"/>
  <c r="AO307" i="14"/>
  <c r="AO308" i="14"/>
  <c r="AO303" i="14"/>
  <c r="AO302" i="14"/>
  <c r="AO306" i="14"/>
  <c r="AM311" i="14"/>
  <c r="AM312" i="14"/>
  <c r="AM309" i="14"/>
  <c r="AM304" i="14"/>
  <c r="AM300" i="14"/>
  <c r="AM308" i="14"/>
  <c r="AM313" i="14"/>
  <c r="AM302" i="14"/>
  <c r="AM301" i="14"/>
  <c r="AM307" i="14"/>
  <c r="AM303" i="14"/>
  <c r="AM305" i="14"/>
  <c r="AM310" i="14"/>
  <c r="AM306" i="14"/>
  <c r="AH312" i="14"/>
  <c r="AH313" i="14"/>
  <c r="AH303" i="14"/>
  <c r="AH308" i="14"/>
  <c r="AH310" i="14"/>
  <c r="AH306" i="14"/>
  <c r="AH311" i="14"/>
  <c r="AH304" i="14"/>
  <c r="AH302" i="14"/>
  <c r="AH301" i="14"/>
  <c r="AH305" i="14"/>
  <c r="AH307" i="14"/>
  <c r="AH309" i="14"/>
  <c r="AH300" i="14"/>
  <c r="AW313" i="14"/>
  <c r="AW310" i="14"/>
  <c r="AW300" i="14"/>
  <c r="AW311" i="14"/>
  <c r="AW308" i="14"/>
  <c r="AW309" i="14"/>
  <c r="AW305" i="14"/>
  <c r="AW303" i="14"/>
  <c r="AW304" i="14"/>
  <c r="AW302" i="14"/>
  <c r="AW312" i="14"/>
  <c r="AW301" i="14"/>
  <c r="AW306" i="14"/>
  <c r="AW307" i="14"/>
  <c r="AA311" i="14"/>
  <c r="AA307" i="14"/>
  <c r="AA303" i="14"/>
  <c r="AA305" i="14"/>
  <c r="AA308" i="14"/>
  <c r="AA312" i="14"/>
  <c r="AA313" i="14"/>
  <c r="AA310" i="14"/>
  <c r="AA306" i="14"/>
  <c r="AA302" i="14"/>
  <c r="AA309" i="14"/>
  <c r="AA304" i="14"/>
  <c r="AA300" i="14"/>
  <c r="AA301" i="14"/>
  <c r="AB307" i="14"/>
  <c r="AB302" i="14"/>
  <c r="AB312" i="14"/>
  <c r="AB300" i="14"/>
  <c r="AB304" i="14"/>
  <c r="AB310" i="14"/>
  <c r="AB303" i="14"/>
  <c r="AB309" i="14"/>
  <c r="AB311" i="14"/>
  <c r="AB313" i="14"/>
  <c r="AB306" i="14"/>
  <c r="AB305" i="14"/>
  <c r="AB301" i="14"/>
  <c r="AB308" i="14"/>
  <c r="AX312" i="14"/>
  <c r="AX313" i="14"/>
  <c r="AX303" i="14"/>
  <c r="AX307" i="14"/>
  <c r="AX308" i="14"/>
  <c r="AX304" i="14"/>
  <c r="AX306" i="14"/>
  <c r="AX311" i="14"/>
  <c r="AX310" i="14"/>
  <c r="AX302" i="14"/>
  <c r="AX301" i="14"/>
  <c r="AX300" i="14"/>
  <c r="AX305" i="14"/>
  <c r="AX309" i="14"/>
  <c r="V308" i="14"/>
  <c r="V307" i="14"/>
  <c r="V304" i="14"/>
  <c r="V310" i="14"/>
  <c r="V312" i="14"/>
  <c r="V306" i="14"/>
  <c r="V303" i="14"/>
  <c r="V302" i="14"/>
  <c r="V311" i="14"/>
  <c r="V313" i="14"/>
  <c r="V305" i="14"/>
  <c r="V301" i="14"/>
  <c r="V300" i="14"/>
  <c r="V309" i="14"/>
  <c r="X309" i="14"/>
  <c r="X307" i="14"/>
  <c r="X305" i="14"/>
  <c r="X312" i="14"/>
  <c r="X313" i="14"/>
  <c r="X310" i="14"/>
  <c r="X306" i="14"/>
  <c r="X301" i="14"/>
  <c r="X303" i="14"/>
  <c r="X304" i="14"/>
  <c r="X311" i="14"/>
  <c r="X302" i="14"/>
  <c r="X300" i="14"/>
  <c r="X308" i="14"/>
  <c r="BB312" i="14"/>
  <c r="BB313" i="14"/>
  <c r="BB300" i="14"/>
  <c r="BB302" i="14"/>
  <c r="BB311" i="14"/>
  <c r="BB306" i="14"/>
  <c r="BB303" i="14"/>
  <c r="BB301" i="14"/>
  <c r="BB304" i="14"/>
  <c r="BB309" i="14"/>
  <c r="BB308" i="14"/>
  <c r="BB310" i="14"/>
  <c r="BB305" i="14"/>
  <c r="BB307" i="14"/>
  <c r="BE313" i="14"/>
  <c r="BE308" i="14"/>
  <c r="BE304" i="14"/>
  <c r="BE303" i="14"/>
  <c r="BE311" i="14"/>
  <c r="BE302" i="14"/>
  <c r="BE309" i="14"/>
  <c r="BE310" i="14"/>
  <c r="BE300" i="14"/>
  <c r="BE312" i="14"/>
  <c r="BE307" i="14"/>
  <c r="BE305" i="14"/>
  <c r="BE301" i="14"/>
  <c r="BE306" i="14"/>
  <c r="Y308" i="14"/>
  <c r="Y306" i="14"/>
  <c r="Y304" i="14"/>
  <c r="Y300" i="14"/>
  <c r="Y301" i="14"/>
  <c r="Y310" i="14"/>
  <c r="Y312" i="14"/>
  <c r="Y307" i="14"/>
  <c r="Y311" i="14"/>
  <c r="Y302" i="14"/>
  <c r="Y303" i="14"/>
  <c r="Y313" i="14"/>
  <c r="Y309" i="14"/>
  <c r="Y305" i="14"/>
  <c r="BH310" i="14"/>
  <c r="BH305" i="14"/>
  <c r="BH307" i="14"/>
  <c r="BH300" i="14"/>
  <c r="BH304" i="14"/>
  <c r="BH306" i="14"/>
  <c r="BH311" i="14"/>
  <c r="BH301" i="14"/>
  <c r="BH313" i="14"/>
  <c r="BH308" i="14"/>
  <c r="BH303" i="14"/>
  <c r="BH309" i="14"/>
  <c r="BH302" i="14"/>
  <c r="BH312" i="14"/>
  <c r="AU311" i="14"/>
  <c r="AU312" i="14"/>
  <c r="AU300" i="14"/>
  <c r="AU308" i="14"/>
  <c r="AU301" i="14"/>
  <c r="AU307" i="14"/>
  <c r="AU303" i="14"/>
  <c r="AU304" i="14"/>
  <c r="AU309" i="14"/>
  <c r="AU310" i="14"/>
  <c r="AU302" i="14"/>
  <c r="AU306" i="14"/>
  <c r="AU305" i="14"/>
  <c r="AU313" i="14"/>
  <c r="W304" i="14"/>
  <c r="W302" i="14"/>
  <c r="W306" i="14"/>
  <c r="W305" i="14"/>
  <c r="W311" i="14"/>
  <c r="W307" i="14"/>
  <c r="W310" i="14"/>
  <c r="W301" i="14"/>
  <c r="W309" i="14"/>
  <c r="W312" i="14"/>
  <c r="W303" i="14"/>
  <c r="W313" i="14"/>
  <c r="W308" i="14"/>
  <c r="W300" i="14"/>
  <c r="BC311" i="14"/>
  <c r="BC312" i="14"/>
  <c r="BC302" i="14"/>
  <c r="BC304" i="14"/>
  <c r="BC308" i="14"/>
  <c r="BC313" i="14"/>
  <c r="BC301" i="14"/>
  <c r="BC300" i="14"/>
  <c r="BC307" i="14"/>
  <c r="BC305" i="14"/>
  <c r="BC309" i="14"/>
  <c r="BC306" i="14"/>
  <c r="BC310" i="14"/>
  <c r="BC303" i="14"/>
  <c r="AP312" i="14"/>
  <c r="AP313" i="14"/>
  <c r="AP303" i="14"/>
  <c r="AP309" i="14"/>
  <c r="AP308" i="14"/>
  <c r="AP310" i="14"/>
  <c r="AP302" i="14"/>
  <c r="AP305" i="14"/>
  <c r="AP311" i="14"/>
  <c r="AP304" i="14"/>
  <c r="AP300" i="14"/>
  <c r="AP301" i="14"/>
  <c r="AP307" i="14"/>
  <c r="AP306" i="14"/>
  <c r="AZ310" i="14"/>
  <c r="AZ305" i="14"/>
  <c r="AZ302" i="14"/>
  <c r="AZ300" i="14"/>
  <c r="AZ303" i="14"/>
  <c r="AZ306" i="14"/>
  <c r="AZ311" i="14"/>
  <c r="AZ307" i="14"/>
  <c r="AZ304" i="14"/>
  <c r="AZ313" i="14"/>
  <c r="AZ312" i="14"/>
  <c r="AZ301" i="14"/>
  <c r="AZ309" i="14"/>
  <c r="AZ308" i="14"/>
  <c r="AY311" i="14"/>
  <c r="AY312" i="14"/>
  <c r="AY302" i="14"/>
  <c r="AY305" i="14"/>
  <c r="AY308" i="14"/>
  <c r="AY307" i="14"/>
  <c r="AY309" i="14"/>
  <c r="AY313" i="14"/>
  <c r="AY300" i="14"/>
  <c r="AY304" i="14"/>
  <c r="AY306" i="14"/>
  <c r="AY310" i="14"/>
  <c r="AY303" i="14"/>
  <c r="AY301" i="14"/>
  <c r="AT312" i="14"/>
  <c r="AT313" i="14"/>
  <c r="AT310" i="14"/>
  <c r="AT305" i="14"/>
  <c r="AT309" i="14"/>
  <c r="AT308" i="14"/>
  <c r="AT306" i="14"/>
  <c r="AT300" i="14"/>
  <c r="AT302" i="14"/>
  <c r="AT304" i="14"/>
  <c r="AT307" i="14"/>
  <c r="AT301" i="14"/>
  <c r="AT311" i="14"/>
  <c r="AT303" i="14"/>
  <c r="BA313" i="14"/>
  <c r="BA308" i="14"/>
  <c r="BA306" i="14"/>
  <c r="BA309" i="14"/>
  <c r="BA310" i="14"/>
  <c r="BA304" i="14"/>
  <c r="BA302" i="14"/>
  <c r="BA312" i="14"/>
  <c r="BA303" i="14"/>
  <c r="BA305" i="14"/>
  <c r="BA307" i="14"/>
  <c r="BA300" i="14"/>
  <c r="BA311" i="14"/>
  <c r="BA301" i="14"/>
  <c r="AK313" i="14"/>
  <c r="AK307" i="14"/>
  <c r="AK304" i="14"/>
  <c r="AK309" i="14"/>
  <c r="AK305" i="14"/>
  <c r="AK300" i="14"/>
  <c r="AK310" i="14"/>
  <c r="AK302" i="14"/>
  <c r="AK312" i="14"/>
  <c r="AK301" i="14"/>
  <c r="AK308" i="14"/>
  <c r="AK306" i="14"/>
  <c r="AK311" i="14"/>
  <c r="AK303" i="14"/>
  <c r="U313" i="14"/>
  <c r="U302" i="14"/>
  <c r="U303" i="14"/>
  <c r="U306" i="14"/>
  <c r="U308" i="14"/>
  <c r="U307" i="14"/>
  <c r="U309" i="14"/>
  <c r="U312" i="14"/>
  <c r="U310" i="14"/>
  <c r="U311" i="14"/>
  <c r="U304" i="14"/>
  <c r="U305" i="14"/>
  <c r="U301" i="14"/>
  <c r="U300" i="14"/>
</calcChain>
</file>

<file path=xl/comments1.xml><?xml version="1.0" encoding="utf-8"?>
<comments xmlns="http://schemas.openxmlformats.org/spreadsheetml/2006/main">
  <authors>
    <author>Piotr Mierzejewski</author>
    <author>Dariusz Giziński</author>
  </authors>
  <commentList>
    <comment ref="C20" authorId="0" shapeId="0">
      <text>
        <r>
          <rPr>
            <b/>
            <sz val="9"/>
            <color indexed="81"/>
            <rFont val="Tahoma"/>
            <family val="2"/>
            <charset val="238"/>
          </rPr>
          <t>Piotr Mierzejewski:</t>
        </r>
        <r>
          <rPr>
            <sz val="9"/>
            <color indexed="81"/>
            <rFont val="Tahoma"/>
            <family val="2"/>
            <charset val="238"/>
          </rPr>
          <t xml:space="preserve">
Jednostka według opracowania źródłowego KOBiZE (2020): 
kg/MWh = g/kWh </t>
        </r>
      </text>
    </comment>
    <comment ref="F20" authorId="1" shapeId="0">
      <text>
        <r>
          <rPr>
            <b/>
            <sz val="9"/>
            <color indexed="81"/>
            <rFont val="Tahoma"/>
            <family val="2"/>
            <charset val="238"/>
          </rPr>
          <t>Dariusz Giziński:</t>
        </r>
        <r>
          <rPr>
            <sz val="9"/>
            <color indexed="81"/>
            <rFont val="Tahoma"/>
            <family val="2"/>
            <charset val="238"/>
          </rPr>
          <t xml:space="preserve">
Wartość wskaźnika emisyjności NMHC/NMVOC przyjęto z innego źródła niż dla wskaźników emisyjności pozostałych zanieczyszczeń w tym wierszu, gdyż brak wartości tego parametru w opracowaniu KOBiZE (2020). 
Źródło danych dla parametru Wskaźnik emisyjności NMVOC dla energii elektrycznej sieciowej w Polsce: 
Update of the Handbook on External Costs of Transport, Final Report, Ricardo-AEA, 8th January 2014, Annex F. Costs of up- and downstream processes, Table F-3. Emission factors from electricity use in g/GJ. 
Wykonano przeliczenie z g/GJ na g/kWh: 
(1.000 W * 3.600 s) / 1.000.000.000 J = 0,0036 GJ/kWh (tzn. 1 kWh = 0,0036 GJ) 
1,4 g/GJ *0,0036 GJ/kWh = 0,00504 g/kWh </t>
        </r>
      </text>
    </comment>
    <comment ref="I20" authorId="0" shapeId="0">
      <text>
        <r>
          <rPr>
            <b/>
            <sz val="9"/>
            <color indexed="81"/>
            <rFont val="Tahoma"/>
            <family val="2"/>
            <charset val="238"/>
          </rPr>
          <t>Piotr Mierzejewski:</t>
        </r>
        <r>
          <rPr>
            <sz val="9"/>
            <color indexed="81"/>
            <rFont val="Tahoma"/>
            <family val="2"/>
            <charset val="238"/>
          </rPr>
          <t xml:space="preserve">
Opracowanie źródłowe jest dostępne pod adresem internetowym: https://www.kobize.pl/uploads/materialy/materialy_do_pobrania/wskazniki_emisyjnosci/Wskazniki_emisyjnosci_grudzien_2020.pdf 
</t>
        </r>
        <r>
          <rPr>
            <sz val="9"/>
            <color indexed="81"/>
            <rFont val="Tahoma"/>
            <family val="2"/>
            <charset val="238"/>
          </rPr>
          <t xml:space="preserve">Według KOBiZE nastąpił spadek wskaźnika emisyjności CO2 z 765 kg/MWh w roku 2018 do 719 kg/MWh w roku 2019, tzn. o –6,01%. </t>
        </r>
      </text>
    </comment>
    <comment ref="B39" authorId="0" shapeId="0">
      <text>
        <r>
          <rPr>
            <b/>
            <sz val="9"/>
            <color indexed="81"/>
            <rFont val="Tahoma"/>
            <family val="2"/>
            <charset val="238"/>
          </rPr>
          <t>Piotr Mierzejewski:</t>
        </r>
        <r>
          <rPr>
            <sz val="9"/>
            <color indexed="81"/>
            <rFont val="Tahoma"/>
            <family val="2"/>
            <charset val="238"/>
          </rPr>
          <t xml:space="preserve">
Dla autobusów spalinowych (ON, CNG, LPG/LNG) różne normy EURO przekładają się na różne wartości wskaźników emisyjności tylko w przypadku zanieczyszczeń powietrza (trzy rodzaje: NMHC/NMVOC, NOx, PM). W przypadku emisji CO2 natomiast wartość współczynnika emisji jest, według przyjętego źródła, jednakowa dla poszczególnych rodzajów paliwa, niezależnie od normy EURO dla silnika: Diesel – 3,169 kg CO2 /kg paliwa, CNG (lub LNG) – 2,743 kg CO2 /kg paliwa, LPG – 3,024 kg CO2 /kg paliwa. Różnice w emisjach CO2 mogą więc wynikać tylko z różnic w spalaniu przez dany silnik na 100 km, a nie z normy EURO. 
Przy tym w opracowaniu źródłowym osobno podana jest emisyjność dla LPG (przyjęty skład tego paliwa to 50% propan + 50% butan), a osobno – dla CNG i LNG (przyjęty skład tych dwóch rodzajów paliwa to 100% metan). </t>
        </r>
      </text>
    </comment>
    <comment ref="B40"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43"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59"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62"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78"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81"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C90" authorId="0" shapeId="0">
      <text>
        <r>
          <rPr>
            <b/>
            <sz val="9"/>
            <color indexed="81"/>
            <rFont val="Tahoma"/>
            <family val="2"/>
            <charset val="238"/>
          </rPr>
          <t>Piotr Mierzejewski:</t>
        </r>
        <r>
          <rPr>
            <sz val="9"/>
            <color indexed="81"/>
            <rFont val="Tahoma"/>
            <family val="2"/>
            <charset val="238"/>
          </rPr>
          <t xml:space="preserve">
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99" authorId="0" shapeId="0">
      <text>
        <r>
          <rPr>
            <b/>
            <sz val="9"/>
            <color indexed="81"/>
            <rFont val="Tahoma"/>
            <family val="2"/>
            <charset val="238"/>
          </rPr>
          <t>Piotr Mierzejewski:</t>
        </r>
        <r>
          <rPr>
            <sz val="9"/>
            <color indexed="81"/>
            <rFont val="Tahoma"/>
            <family val="2"/>
            <charset val="238"/>
          </rPr>
          <t xml:space="preserve">
Wartości oznaczone [1] wg źródła alternatywnego, wyłącznie w celach informacyjnych, porównawczych. </t>
        </r>
      </text>
    </comment>
    <comment ref="B105" authorId="0" shapeId="0">
      <text>
        <r>
          <rPr>
            <b/>
            <sz val="9"/>
            <color indexed="81"/>
            <rFont val="Tahoma"/>
            <family val="2"/>
            <charset val="238"/>
          </rPr>
          <t>Piotr Mierzejewski:</t>
        </r>
        <r>
          <rPr>
            <sz val="9"/>
            <color indexed="81"/>
            <rFont val="Tahoma"/>
            <family val="2"/>
            <charset val="238"/>
          </rPr>
          <t xml:space="preserve">
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 ref="B123"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List>
</comments>
</file>

<file path=xl/comments2.xml><?xml version="1.0" encoding="utf-8"?>
<comments xmlns="http://schemas.openxmlformats.org/spreadsheetml/2006/main">
  <authors>
    <author>Piotr Mierzejewski</author>
    <author>Dariusz Giziński</author>
  </authors>
  <commentList>
    <comment ref="C20" authorId="0" shapeId="0">
      <text>
        <r>
          <rPr>
            <b/>
            <sz val="9"/>
            <color indexed="81"/>
            <rFont val="Tahoma"/>
            <family val="2"/>
            <charset val="238"/>
          </rPr>
          <t>Piotr Mierzejewski:</t>
        </r>
        <r>
          <rPr>
            <sz val="9"/>
            <color indexed="81"/>
            <rFont val="Tahoma"/>
            <family val="2"/>
            <charset val="238"/>
          </rPr>
          <t xml:space="preserve">
Jednostka według opracowania źródłowego KOBiZE (2020): 
kg/MWh = g/kWh </t>
        </r>
      </text>
    </comment>
    <comment ref="F20" authorId="1" shapeId="0">
      <text>
        <r>
          <rPr>
            <b/>
            <sz val="9"/>
            <color indexed="81"/>
            <rFont val="Tahoma"/>
            <family val="2"/>
            <charset val="238"/>
          </rPr>
          <t>Dariusz Giziński:</t>
        </r>
        <r>
          <rPr>
            <sz val="9"/>
            <color indexed="81"/>
            <rFont val="Tahoma"/>
            <family val="2"/>
            <charset val="238"/>
          </rPr>
          <t xml:space="preserve">
Wartość wskaźnika emisyjności NMHC/NMVOC przyjęto z innego źródła niż dla wskaźników emisyjności pozostałych zanieczyszczeń w tym wierszu, gdyż brak wartości tego parametru w opracowaniu KOBiZE (2020). 
Źródło danych dla parametru Wskaźnik emisyjności NMVOC dla energii elektrycznej sieciowej w Polsce: 
Update of the Handbook on External Costs of Transport, Final Report, Ricardo-AEA, 8th January 2014, Annex F. Costs of up- and downstream processes, Table F-3. Emission factors from electricity use in g/GJ. 
Wykonano przeliczenie z g/GJ na g/kWh: 
(1.000 W * 3.600 s) / 1.000.000.000 J = 0,0036 GJ/kWh (tzn. 1 kWh = 0,0036 GJ) 
1,4 g/GJ *0,0036 GJ/kWh = 0,00504 g/kWh </t>
        </r>
      </text>
    </comment>
    <comment ref="I20" authorId="0" shapeId="0">
      <text>
        <r>
          <rPr>
            <b/>
            <sz val="9"/>
            <color indexed="81"/>
            <rFont val="Tahoma"/>
            <family val="2"/>
            <charset val="238"/>
          </rPr>
          <t>Piotr Mierzejewski:</t>
        </r>
        <r>
          <rPr>
            <sz val="9"/>
            <color indexed="81"/>
            <rFont val="Tahoma"/>
            <family val="2"/>
            <charset val="238"/>
          </rPr>
          <t xml:space="preserve">
Opracowanie źródłowe jest dostępne pod adresem internetowym: https://www.kobize.pl/uploads/materialy/materialy_do_pobrania/wskazniki_emisyjnosci/Wskazniki_emisyjnosci_grudzien_2020.pdf 
</t>
        </r>
        <r>
          <rPr>
            <sz val="9"/>
            <color indexed="81"/>
            <rFont val="Tahoma"/>
            <family val="2"/>
            <charset val="238"/>
          </rPr>
          <t xml:space="preserve">Według KOBiZE nastąpił spadek wskaźnika emisyjności CO2 z 765 kg/MWh w roku 2018 do 719 kg/MWh w roku 2019, tzn. o –6,01%. </t>
        </r>
      </text>
    </comment>
    <comment ref="B39" authorId="0" shapeId="0">
      <text>
        <r>
          <rPr>
            <b/>
            <sz val="9"/>
            <color indexed="81"/>
            <rFont val="Tahoma"/>
            <family val="2"/>
            <charset val="238"/>
          </rPr>
          <t>Piotr Mierzejewski:</t>
        </r>
        <r>
          <rPr>
            <sz val="9"/>
            <color indexed="81"/>
            <rFont val="Tahoma"/>
            <family val="2"/>
            <charset val="238"/>
          </rPr>
          <t xml:space="preserve">
Dla autobusów spalinowych (ON, CNG, LPG/LNG) różne normy EURO przekładają się na różne wartości wskaźników emisyjności tylko w przypadku zanieczyszczeń powietrza (trzy rodzaje: NMHC/NMVOC, NOx, PM). W przypadku emisji CO2 natomiast wartość współczynnika emisji jest, według przyjętego źródła, jednakowa dla poszczególnych rodzajów paliwa, niezależnie od normy EURO dla silnika: Diesel – 3,169 kg CO2 /kg paliwa, CNG (lub LNG) – 2,743 kg CO2 /kg paliwa, LPG – 3,024 kg CO2 /kg paliwa. Różnice w emisjach CO2 mogą więc wynikać tylko z różnic w spalaniu przez dany silnik na 100 km, a nie z normy EURO. 
Przy tym w opracowaniu źródłowym osobno podana jest emisyjność dla LPG (przyjęty skład tego paliwa to 50% propan + 50% butan), a osobno – dla CNG i LNG (przyjęty skład tych dwóch rodzajów paliwa to 100% metan). </t>
        </r>
      </text>
    </comment>
    <comment ref="B40"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43"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59"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62"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78"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81"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C86" authorId="0" shapeId="0">
      <text>
        <r>
          <rPr>
            <b/>
            <sz val="9"/>
            <color indexed="81"/>
            <rFont val="Tahoma"/>
            <family val="2"/>
            <charset val="238"/>
          </rPr>
          <t>Piotr Mierzejewski:</t>
        </r>
        <r>
          <rPr>
            <sz val="9"/>
            <color indexed="81"/>
            <rFont val="Tahoma"/>
            <family val="2"/>
            <charset val="238"/>
          </rPr>
          <t xml:space="preserve">
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95" authorId="0" shapeId="0">
      <text>
        <r>
          <rPr>
            <b/>
            <sz val="9"/>
            <color indexed="81"/>
            <rFont val="Tahoma"/>
            <family val="2"/>
            <charset val="238"/>
          </rPr>
          <t>Piotr Mierzejewski:</t>
        </r>
        <r>
          <rPr>
            <sz val="9"/>
            <color indexed="81"/>
            <rFont val="Tahoma"/>
            <family val="2"/>
            <charset val="238"/>
          </rPr>
          <t xml:space="preserve">
Wartości oznaczone [1] wg źródła alternatywnego, wyłącznie w celach informacyjnych, porównawczych. </t>
        </r>
      </text>
    </comment>
    <comment ref="B101" authorId="0" shapeId="0">
      <text>
        <r>
          <rPr>
            <b/>
            <sz val="9"/>
            <color indexed="81"/>
            <rFont val="Tahoma"/>
            <family val="2"/>
            <charset val="238"/>
          </rPr>
          <t>Piotr Mierzejewski:</t>
        </r>
        <r>
          <rPr>
            <sz val="9"/>
            <color indexed="81"/>
            <rFont val="Tahoma"/>
            <family val="2"/>
            <charset val="238"/>
          </rPr>
          <t xml:space="preserve">
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 ref="C106" authorId="0" shapeId="0">
      <text>
        <r>
          <rPr>
            <b/>
            <sz val="9"/>
            <color indexed="81"/>
            <rFont val="Tahoma"/>
            <family val="2"/>
            <charset val="238"/>
          </rPr>
          <t>Piotr Mierzejewski:</t>
        </r>
        <r>
          <rPr>
            <sz val="9"/>
            <color indexed="81"/>
            <rFont val="Tahoma"/>
            <family val="2"/>
            <charset val="238"/>
          </rPr>
          <t xml:space="preserve">
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115" authorId="0" shapeId="0">
      <text>
        <r>
          <rPr>
            <b/>
            <sz val="9"/>
            <color indexed="81"/>
            <rFont val="Tahoma"/>
            <family val="2"/>
            <charset val="238"/>
          </rPr>
          <t>Piotr Mierzejewski:</t>
        </r>
        <r>
          <rPr>
            <sz val="9"/>
            <color indexed="81"/>
            <rFont val="Tahoma"/>
            <family val="2"/>
            <charset val="238"/>
          </rPr>
          <t xml:space="preserve">
Wartości oznaczone [1] wg źródła alternatywnego, wyłącznie w celach informacyjnych, porównawczych. </t>
        </r>
      </text>
    </comment>
    <comment ref="B121" authorId="0" shapeId="0">
      <text>
        <r>
          <rPr>
            <b/>
            <sz val="9"/>
            <color indexed="81"/>
            <rFont val="Tahoma"/>
            <family val="2"/>
            <charset val="238"/>
          </rPr>
          <t>Piotr Mierzejewski:</t>
        </r>
        <r>
          <rPr>
            <sz val="9"/>
            <color indexed="81"/>
            <rFont val="Tahoma"/>
            <family val="2"/>
            <charset val="238"/>
          </rPr>
          <t xml:space="preserve">
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 ref="C126" authorId="0" shapeId="0">
      <text>
        <r>
          <rPr>
            <b/>
            <sz val="9"/>
            <color indexed="81"/>
            <rFont val="Tahoma"/>
            <family val="2"/>
            <charset val="238"/>
          </rPr>
          <t>Piotr Mierzejewski:</t>
        </r>
        <r>
          <rPr>
            <sz val="9"/>
            <color indexed="81"/>
            <rFont val="Tahoma"/>
            <family val="2"/>
            <charset val="238"/>
          </rPr>
          <t xml:space="preserve">
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135" authorId="0" shapeId="0">
      <text>
        <r>
          <rPr>
            <b/>
            <sz val="9"/>
            <color indexed="81"/>
            <rFont val="Tahoma"/>
            <family val="2"/>
            <charset val="238"/>
          </rPr>
          <t>Piotr Mierzejewski:</t>
        </r>
        <r>
          <rPr>
            <sz val="9"/>
            <color indexed="81"/>
            <rFont val="Tahoma"/>
            <family val="2"/>
            <charset val="238"/>
          </rPr>
          <t xml:space="preserve">
Wartości oznaczone [1] wg źródła alternatywnego, wyłącznie w celach informacyjnych, porównawczych. </t>
        </r>
      </text>
    </comment>
    <comment ref="B141" authorId="0" shapeId="0">
      <text>
        <r>
          <rPr>
            <b/>
            <sz val="9"/>
            <color indexed="81"/>
            <rFont val="Tahoma"/>
            <family val="2"/>
            <charset val="238"/>
          </rPr>
          <t>Piotr Mierzejewski:</t>
        </r>
        <r>
          <rPr>
            <sz val="9"/>
            <color indexed="81"/>
            <rFont val="Tahoma"/>
            <family val="2"/>
            <charset val="238"/>
          </rPr>
          <t xml:space="preserve">
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 ref="B159"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 ref="B177"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 ref="B195"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 ref="B256"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259"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291"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294"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326"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329"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List>
</comments>
</file>

<file path=xl/comments3.xml><?xml version="1.0" encoding="utf-8"?>
<comments xmlns="http://schemas.openxmlformats.org/spreadsheetml/2006/main">
  <authors>
    <author>Piotr Mierzejewski</author>
    <author>Dariusz Giziński</author>
  </authors>
  <commentList>
    <comment ref="C20" authorId="0" shapeId="0">
      <text>
        <r>
          <rPr>
            <b/>
            <sz val="9"/>
            <color indexed="81"/>
            <rFont val="Tahoma"/>
            <family val="2"/>
            <charset val="238"/>
          </rPr>
          <t>Piotr Mierzejewski:</t>
        </r>
        <r>
          <rPr>
            <sz val="9"/>
            <color indexed="81"/>
            <rFont val="Tahoma"/>
            <family val="2"/>
            <charset val="238"/>
          </rPr>
          <t xml:space="preserve">
Jednostka według opracowania źródłowego KOBiZE (2020): 
kg/MWh = g/kWh </t>
        </r>
      </text>
    </comment>
    <comment ref="F20" authorId="1" shapeId="0">
      <text>
        <r>
          <rPr>
            <b/>
            <sz val="9"/>
            <color indexed="81"/>
            <rFont val="Tahoma"/>
            <family val="2"/>
            <charset val="238"/>
          </rPr>
          <t>Dariusz Giziński:</t>
        </r>
        <r>
          <rPr>
            <sz val="9"/>
            <color indexed="81"/>
            <rFont val="Tahoma"/>
            <family val="2"/>
            <charset val="238"/>
          </rPr>
          <t xml:space="preserve">
Wartość wskaźnika emisyjności NMHC/NMVOC przyjęto z innego źródła niż dla wskaźników emisyjności pozostałych zanieczyszczeń w tym wierszu, gdyż brak wartości tego parametru w opracowaniu KOBiZE (2020). 
Źródło danych dla parametru Wskaźnik emisyjności NMVOC dla energii elektrycznej sieciowej w Polsce: 
Update of the Handbook on External Costs of Transport, Final Report, Ricardo-AEA, 8th January 2014, Annex F. Costs of up- and downstream processes, Table F-3. Emission factors from electricity use in g/GJ. 
Wykonano przeliczenie z g/GJ na g/kWh: 
(1.000 W * 3.600 s) / 1.000.000.000 J = 0,0036 GJ/kWh (tzn. 1 kWh = 0,0036 GJ) 
1,4 g/GJ *0,0036 GJ/kWh = 0,00504 g/kWh </t>
        </r>
      </text>
    </comment>
    <comment ref="I20" authorId="0" shapeId="0">
      <text>
        <r>
          <rPr>
            <b/>
            <sz val="9"/>
            <color indexed="81"/>
            <rFont val="Tahoma"/>
            <family val="2"/>
            <charset val="238"/>
          </rPr>
          <t>Piotr Mierzejewski:</t>
        </r>
        <r>
          <rPr>
            <sz val="9"/>
            <color indexed="81"/>
            <rFont val="Tahoma"/>
            <family val="2"/>
            <charset val="238"/>
          </rPr>
          <t xml:space="preserve">
Opracowanie źródłowe jest dostępne pod adresem internetowym: https://www.kobize.pl/uploads/materialy/materialy_do_pobrania/wskazniki_emisyjnosci/Wskazniki_emisyjnosci_grudzien_2020.pdf 
</t>
        </r>
        <r>
          <rPr>
            <sz val="9"/>
            <color indexed="81"/>
            <rFont val="Tahoma"/>
            <family val="2"/>
            <charset val="238"/>
          </rPr>
          <t xml:space="preserve">Według KOBiZE nastąpił spadek wskaźnika emisyjności CO2 z 765 kg/MWh w roku 2018 do 719 kg/MWh w roku 2019, tzn. o –6,01%. </t>
        </r>
      </text>
    </comment>
    <comment ref="B39" authorId="0" shapeId="0">
      <text>
        <r>
          <rPr>
            <b/>
            <sz val="9"/>
            <color indexed="81"/>
            <rFont val="Tahoma"/>
            <family val="2"/>
            <charset val="238"/>
          </rPr>
          <t>Piotr Mierzejewski:</t>
        </r>
        <r>
          <rPr>
            <sz val="9"/>
            <color indexed="81"/>
            <rFont val="Tahoma"/>
            <family val="2"/>
            <charset val="238"/>
          </rPr>
          <t xml:space="preserve">
Dla autobusów spalinowych (ON, CNG, LPG/LNG) różne normy EURO przekładają się na różne wartości wskaźników emisyjności tylko w przypadku zanieczyszczeń powietrza (trzy rodzaje: NMHC/NMVOC, NOx, PM). W przypadku emisji CO2 natomiast wartość współczynnika emisji jest, według przyjętego źródła, jednakowa dla poszczególnych rodzajów paliwa, niezależnie od normy EURO dla silnika: Diesel – 3,169 kg CO2 /kg paliwa, CNG (lub LNG) – 2,743 kg CO2 /kg paliwa, LPG – 3,024 kg CO2 /kg paliwa. Różnice w emisjach CO2 mogą więc wynikać tylko z różnic w spalaniu przez dany silnik na 100 km, a nie z normy EURO. 
Przy tym w opracowaniu źródłowym osobno podana jest emisyjność dla LPG (przyjęty skład tego paliwa to 50% propan + 50% butan), a osobno – dla CNG i LNG (przyjęty skład tych dwóch rodzajów paliwa to 100% metan). </t>
        </r>
      </text>
    </comment>
    <comment ref="B40"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43"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59"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62"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78"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81"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C86" authorId="0" shapeId="0">
      <text>
        <r>
          <rPr>
            <b/>
            <sz val="9"/>
            <color indexed="81"/>
            <rFont val="Tahoma"/>
            <family val="2"/>
            <charset val="238"/>
          </rPr>
          <t>Piotr Mierzejewski:</t>
        </r>
        <r>
          <rPr>
            <sz val="9"/>
            <color indexed="81"/>
            <rFont val="Tahoma"/>
            <family val="2"/>
            <charset val="238"/>
          </rPr>
          <t xml:space="preserve">
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95" authorId="0" shapeId="0">
      <text>
        <r>
          <rPr>
            <b/>
            <sz val="9"/>
            <color indexed="81"/>
            <rFont val="Tahoma"/>
            <family val="2"/>
            <charset val="238"/>
          </rPr>
          <t>Piotr Mierzejewski:</t>
        </r>
        <r>
          <rPr>
            <sz val="9"/>
            <color indexed="81"/>
            <rFont val="Tahoma"/>
            <family val="2"/>
            <charset val="238"/>
          </rPr>
          <t xml:space="preserve">
Wartości oznaczone [1] wg źródła alternatywnego, wyłącznie w celach informacyjnych, porównawczych. </t>
        </r>
      </text>
    </comment>
    <comment ref="B101" authorId="0" shapeId="0">
      <text>
        <r>
          <rPr>
            <b/>
            <sz val="9"/>
            <color indexed="81"/>
            <rFont val="Tahoma"/>
            <family val="2"/>
            <charset val="238"/>
          </rPr>
          <t>Piotr Mierzejewski:</t>
        </r>
        <r>
          <rPr>
            <sz val="9"/>
            <color indexed="81"/>
            <rFont val="Tahoma"/>
            <family val="2"/>
            <charset val="238"/>
          </rPr>
          <t xml:space="preserve">
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 ref="C106" authorId="0" shapeId="0">
      <text>
        <r>
          <rPr>
            <b/>
            <sz val="9"/>
            <color indexed="81"/>
            <rFont val="Tahoma"/>
            <family val="2"/>
            <charset val="238"/>
          </rPr>
          <t>Piotr Mierzejewski:</t>
        </r>
        <r>
          <rPr>
            <sz val="9"/>
            <color indexed="81"/>
            <rFont val="Tahoma"/>
            <family val="2"/>
            <charset val="238"/>
          </rPr>
          <t xml:space="preserve">
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115" authorId="0" shapeId="0">
      <text>
        <r>
          <rPr>
            <b/>
            <sz val="9"/>
            <color indexed="81"/>
            <rFont val="Tahoma"/>
            <family val="2"/>
            <charset val="238"/>
          </rPr>
          <t>Piotr Mierzejewski:</t>
        </r>
        <r>
          <rPr>
            <sz val="9"/>
            <color indexed="81"/>
            <rFont val="Tahoma"/>
            <family val="2"/>
            <charset val="238"/>
          </rPr>
          <t xml:space="preserve">
Wartości oznaczone [1] wg źródła alternatywnego, wyłącznie w celach informacyjnych, porównawczych. </t>
        </r>
      </text>
    </comment>
    <comment ref="B121" authorId="0" shapeId="0">
      <text>
        <r>
          <rPr>
            <b/>
            <sz val="9"/>
            <color indexed="81"/>
            <rFont val="Tahoma"/>
            <family val="2"/>
            <charset val="238"/>
          </rPr>
          <t>Piotr Mierzejewski:</t>
        </r>
        <r>
          <rPr>
            <sz val="9"/>
            <color indexed="81"/>
            <rFont val="Tahoma"/>
            <family val="2"/>
            <charset val="238"/>
          </rPr>
          <t xml:space="preserve">
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 ref="C126" authorId="0" shapeId="0">
      <text>
        <r>
          <rPr>
            <b/>
            <sz val="9"/>
            <color indexed="81"/>
            <rFont val="Tahoma"/>
            <family val="2"/>
            <charset val="238"/>
          </rPr>
          <t>Piotr Mierzejewski:</t>
        </r>
        <r>
          <rPr>
            <sz val="9"/>
            <color indexed="81"/>
            <rFont val="Tahoma"/>
            <family val="2"/>
            <charset val="238"/>
          </rPr>
          <t xml:space="preserve">
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135" authorId="0" shapeId="0">
      <text>
        <r>
          <rPr>
            <b/>
            <sz val="9"/>
            <color indexed="81"/>
            <rFont val="Tahoma"/>
            <family val="2"/>
            <charset val="238"/>
          </rPr>
          <t>Piotr Mierzejewski:</t>
        </r>
        <r>
          <rPr>
            <sz val="9"/>
            <color indexed="81"/>
            <rFont val="Tahoma"/>
            <family val="2"/>
            <charset val="238"/>
          </rPr>
          <t xml:space="preserve">
Wartości oznaczone [1] wg źródła alternatywnego, wyłącznie w celach informacyjnych, porównawczych. </t>
        </r>
      </text>
    </comment>
    <comment ref="B141" authorId="0" shapeId="0">
      <text>
        <r>
          <rPr>
            <b/>
            <sz val="9"/>
            <color indexed="81"/>
            <rFont val="Tahoma"/>
            <family val="2"/>
            <charset val="238"/>
          </rPr>
          <t>Piotr Mierzejewski:</t>
        </r>
        <r>
          <rPr>
            <sz val="9"/>
            <color indexed="81"/>
            <rFont val="Tahoma"/>
            <family val="2"/>
            <charset val="238"/>
          </rPr>
          <t xml:space="preserve">
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 ref="B159"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 ref="B177"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 ref="B195" authorId="0" shapeId="0">
      <text>
        <r>
          <rPr>
            <sz val="9"/>
            <color indexed="81"/>
            <rFont val="Tahoma"/>
            <family val="2"/>
            <charset val="238"/>
          </rPr>
          <t xml:space="preserve">Wartość wg źródła alternatywnego, wyłącznie w celach informacyjnych, porównawczych. 
Wynik bardzo zbliżony do obliczonego na podstawie źródła EMEP/EEA air pollutant emission inventory guidebook (2019), wartość mniej dokładna. </t>
        </r>
      </text>
    </comment>
    <comment ref="B256"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259"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291"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294"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B326"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329"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List>
</comments>
</file>

<file path=xl/comments4.xml><?xml version="1.0" encoding="utf-8"?>
<comments xmlns="http://schemas.openxmlformats.org/spreadsheetml/2006/main">
  <authors>
    <author>Piotr Mierzejewski</author>
    <author>Anna Kiwiel</author>
  </authors>
  <commentList>
    <comment ref="J12" authorId="0" shapeId="0">
      <text>
        <r>
          <rPr>
            <sz val="8"/>
            <color indexed="81"/>
            <rFont val="Tahoma"/>
            <family val="2"/>
            <charset val="238"/>
          </rPr>
          <t xml:space="preserve">Dane opracowane na bazie wyników NSP'2011: </t>
        </r>
        <r>
          <rPr>
            <b/>
            <sz val="8"/>
            <color indexed="81"/>
            <rFont val="Tahoma"/>
            <family val="2"/>
            <charset val="238"/>
          </rPr>
          <t xml:space="preserve">38 497 tys.
</t>
        </r>
        <r>
          <rPr>
            <sz val="8"/>
            <color indexed="81"/>
            <rFont val="Tahoma"/>
            <family val="2"/>
            <charset val="238"/>
          </rPr>
          <t>Źródło: Mały Rocznik Statystyczny Polski 2016, Tabl. 2(64), Bilans ludności - Stan ludności w dniu 1 stycznia 2010</t>
        </r>
      </text>
    </comment>
    <comment ref="K12" authorId="0" shapeId="0">
      <text>
        <r>
          <rPr>
            <sz val="8"/>
            <color indexed="81"/>
            <rFont val="Tahoma"/>
            <family val="2"/>
            <charset val="238"/>
          </rPr>
          <t>Dane opracowane na bazie wyników NSP'2011.</t>
        </r>
      </text>
    </comment>
    <comment ref="AZ24" authorId="1" shapeId="0">
      <text>
        <r>
          <rPr>
            <b/>
            <sz val="9"/>
            <color indexed="81"/>
            <rFont val="Tahoma"/>
            <family val="2"/>
            <charset val="238"/>
          </rPr>
          <t>Anna Kiwiel:</t>
        </r>
        <r>
          <rPr>
            <sz val="9"/>
            <color indexed="81"/>
            <rFont val="Tahoma"/>
            <family val="2"/>
            <charset val="238"/>
          </rPr>
          <t xml:space="preserve">
Przeniosłabym opis  AY21 tutaj, wtedy jest jasne powiązanie z tą komórką</t>
        </r>
      </text>
    </comment>
  </commentList>
</comments>
</file>

<file path=xl/comments5.xml><?xml version="1.0" encoding="utf-8"?>
<comments xmlns="http://schemas.openxmlformats.org/spreadsheetml/2006/main">
  <authors>
    <author>Piotr Mierzejewski</author>
  </authors>
  <commentList>
    <comment ref="U99" authorId="0" shapeId="0">
      <text>
        <r>
          <rPr>
            <b/>
            <sz val="9"/>
            <color indexed="81"/>
            <rFont val="Tahoma"/>
            <family val="2"/>
            <charset val="238"/>
          </rPr>
          <t>Piotr Mierzejewski:</t>
        </r>
        <r>
          <rPr>
            <sz val="9"/>
            <color indexed="81"/>
            <rFont val="Tahoma"/>
            <family val="2"/>
            <charset val="238"/>
          </rPr>
          <t xml:space="preserve">
W latach projekcji poprzedzających rok 2020 przyjęto koszt jednostkowy na poziomie określonym dla roku 2020 w opracowaniu źródłowym EBI. </t>
        </r>
      </text>
    </comment>
    <comment ref="AY99" authorId="0" shapeId="0">
      <text>
        <r>
          <rPr>
            <b/>
            <sz val="9"/>
            <color indexed="81"/>
            <rFont val="Tahoma"/>
            <family val="2"/>
            <charset val="238"/>
          </rPr>
          <t>Piotr Mierzejewski:</t>
        </r>
        <r>
          <rPr>
            <sz val="9"/>
            <color indexed="81"/>
            <rFont val="Tahoma"/>
            <family val="2"/>
            <charset val="238"/>
          </rPr>
          <t xml:space="preserve">
Przyjęto ostrożne założenie, że w kolejnych latach projekcji koszt jednostkowy nie rośnie powyżej poziomu określonego dla roku 2050 w opracowaniu źródłowym EBI.  </t>
        </r>
      </text>
    </comment>
    <comment ref="AN177" authorId="0" shapeId="0">
      <text>
        <r>
          <rPr>
            <b/>
            <sz val="9"/>
            <color indexed="81"/>
            <rFont val="Tahoma"/>
            <family val="2"/>
            <charset val="238"/>
          </rPr>
          <t>Piotr Mierzejewski:</t>
        </r>
        <r>
          <rPr>
            <sz val="9"/>
            <color indexed="81"/>
            <rFont val="Tahoma"/>
            <family val="2"/>
            <charset val="238"/>
          </rPr>
          <t xml:space="preserve">
Przyjęto ostrożne założenie, że w kolejnych latach projekcji wskaźniki emisyjności energetyki nie spadają poniżej poziomu obliczonego dla roku 2040. </t>
        </r>
      </text>
    </comment>
  </commentList>
</comments>
</file>

<file path=xl/comments6.xml><?xml version="1.0" encoding="utf-8"?>
<comments xmlns="http://schemas.openxmlformats.org/spreadsheetml/2006/main">
  <authors>
    <author>Piotr Mierzejewski</author>
  </authors>
  <commentList>
    <comment ref="S35" authorId="0" shapeId="0">
      <text>
        <r>
          <rPr>
            <b/>
            <sz val="9"/>
            <color indexed="81"/>
            <rFont val="Tahoma"/>
            <family val="2"/>
            <charset val="238"/>
          </rPr>
          <t>Piotr Mierzejewski:</t>
        </r>
        <r>
          <rPr>
            <sz val="9"/>
            <color indexed="81"/>
            <rFont val="Tahoma"/>
            <family val="2"/>
            <charset val="238"/>
          </rPr>
          <t xml:space="preserve">
Proporcja Polska/ UE-28 obliczona na podstawie średnich kosztów jednostkowych, zastosowana do krańcowych kosztów jednostkowych. </t>
        </r>
      </text>
    </comment>
    <comment ref="Q67" authorId="0" shapeId="0">
      <text>
        <r>
          <rPr>
            <b/>
            <sz val="9"/>
            <color indexed="81"/>
            <rFont val="Tahoma"/>
            <family val="2"/>
            <charset val="238"/>
          </rPr>
          <t>Piotr Mierzejewski:</t>
        </r>
        <r>
          <rPr>
            <sz val="9"/>
            <color indexed="81"/>
            <rFont val="Tahoma"/>
            <family val="2"/>
            <charset val="238"/>
          </rPr>
          <t xml:space="preserve">
W opracowaniu źródłowym brak wartości parametru dla samochodów dostawczych ogółem dla Polski, są natomiast parametry określone osobno dla samochodów dostawczych z silnikiem benzynowym i z silnikiem wysokoprężnym. Zastosowano więc </t>
        </r>
        <r>
          <rPr>
            <u/>
            <sz val="9"/>
            <color indexed="81"/>
            <rFont val="Tahoma"/>
            <family val="2"/>
            <charset val="238"/>
          </rPr>
          <t>średnią ważoną</t>
        </r>
        <r>
          <rPr>
            <sz val="9"/>
            <color indexed="81"/>
            <rFont val="Tahoma"/>
            <family val="2"/>
            <charset val="238"/>
          </rPr>
          <t xml:space="preserve"> z wykorzystaniem dostępnych danych o pracy eksploatacyjnej tej kategorii samochodów w Polsce, z uwzględnieniem podziału według rodzaju paliwa. </t>
        </r>
      </text>
    </comment>
  </commentList>
</comments>
</file>

<file path=xl/comments7.xml><?xml version="1.0" encoding="utf-8"?>
<comments xmlns="http://schemas.openxmlformats.org/spreadsheetml/2006/main">
  <authors>
    <author>Piotr Mierzejewski</author>
  </authors>
  <commentList>
    <comment ref="A11" authorId="0" shapeId="0">
      <text>
        <r>
          <rPr>
            <b/>
            <sz val="9"/>
            <color indexed="81"/>
            <rFont val="Tahoma"/>
            <family val="2"/>
            <charset val="238"/>
          </rPr>
          <t>Piotr Mierzejewski:</t>
        </r>
        <r>
          <rPr>
            <sz val="9"/>
            <color indexed="81"/>
            <rFont val="Tahoma"/>
            <family val="2"/>
            <charset val="238"/>
          </rPr>
          <t xml:space="preserve">
W źródłowym opracowaniu Handbook on the External Costs of Transport, EC (2019) i w załączonych do niego plikach </t>
        </r>
        <r>
          <rPr>
            <u/>
            <sz val="9"/>
            <color indexed="81"/>
            <rFont val="Tahoma"/>
            <family val="2"/>
            <charset val="238"/>
          </rPr>
          <t>brak współczynników jednostkowej emisyjności środków transportu</t>
        </r>
        <r>
          <rPr>
            <sz val="9"/>
            <color indexed="81"/>
            <rFont val="Tahoma"/>
            <family val="2"/>
            <charset val="238"/>
          </rPr>
          <t xml:space="preserve"> pod względem poszczególnych rodzajów zanieczyszczeń powietrza [t / poj-km] (por. pkt 4.3.2 Input values, Table 13 – Data sources for the emissions of air pollutants for different transport modes). Brak też danych potrzebnych do określenia tych współczynników. Stąd ograniczenie w zastosowaniu poniższych stawek tylko do niektórych typów projektów, w których emisyjność środków transportu jest w ich specyfikacji. 
Dane dostępne w alternatywnym opracowaniu źródłowym „Opracowanie metodyki i oszacowanie kosztów zewnętrznych emisji zanieczyszczeń do powietrza atmosferycznego ze środków transportu drogowego na poziomie kraju”, GUS, 2018 (data publikacji: 26.02.2019), tzn. [1] Ilość zanieczyszczeń z transportu drogowego według rodzaju pojazdów oraz [2] liczba i średni przebieg roczny rodzajów pojazdów drogowych </t>
        </r>
        <r>
          <rPr>
            <u/>
            <sz val="9"/>
            <color indexed="81"/>
            <rFont val="Tahoma"/>
            <family val="2"/>
            <charset val="238"/>
          </rPr>
          <t>pozwalają na obliczenie współczynników jednostkowej emisyjności pojazdów drogowych</t>
        </r>
        <r>
          <rPr>
            <sz val="9"/>
            <color indexed="81"/>
            <rFont val="Tahoma"/>
            <family val="2"/>
            <charset val="238"/>
          </rPr>
          <t xml:space="preserve"> pod względem poszczególnych rodzajów zanieczyszczeń powietrza [t / poj-km], ale bez emisji NH3 i SO2 (dla których są koszty jednostkowe [€/kg emisji] w ECT Handbook 2019). Dane te umożliwiają też obliczenie współczynników emisyjności CO, dla którego jednak brak kosztu jednostkowego w ECT Handbook 2019. </t>
        </r>
      </text>
    </comment>
  </commentList>
</comments>
</file>

<file path=xl/comments8.xml><?xml version="1.0" encoding="utf-8"?>
<comments xmlns="http://schemas.openxmlformats.org/spreadsheetml/2006/main">
  <authors>
    <author>Piotr Mierzejewski</author>
  </authors>
  <commentList>
    <comment ref="A50" authorId="0" shapeId="0">
      <text>
        <r>
          <rPr>
            <b/>
            <sz val="9"/>
            <color indexed="81"/>
            <rFont val="Tahoma"/>
            <family val="2"/>
            <charset val="238"/>
          </rPr>
          <t>Piotr Mierzejewski:</t>
        </r>
        <r>
          <rPr>
            <sz val="9"/>
            <color indexed="81"/>
            <rFont val="Tahoma"/>
            <family val="2"/>
            <charset val="238"/>
          </rPr>
          <t xml:space="preserve">
Koszty zmiany klimatu – bez uwzględnienia parytetu krajowego PKB per capita w PPS, dodatkowe uwzględnienie długoterminowej ścieżki wzrostu.  </t>
        </r>
      </text>
    </comment>
    <comment ref="F50" authorId="0" shapeId="0">
      <text>
        <r>
          <rPr>
            <b/>
            <sz val="9"/>
            <color indexed="81"/>
            <rFont val="Tahoma"/>
            <family val="2"/>
            <charset val="238"/>
          </rPr>
          <t>Piotr Mierzejewski:</t>
        </r>
        <r>
          <rPr>
            <sz val="9"/>
            <color indexed="81"/>
            <rFont val="Tahoma"/>
            <family val="2"/>
            <charset val="238"/>
          </rPr>
          <t xml:space="preserve">
Koszty zmiany klimatu – dla pociągów elektrycznych (pasażerskich, towarowych) dodatkowo uwzględniony spadek wskaźnika emisji CO2 sieciowej energii elektrycznej. </t>
        </r>
      </text>
    </comment>
    <comment ref="N50" authorId="0" shapeId="0">
      <text>
        <r>
          <rPr>
            <b/>
            <sz val="9"/>
            <color indexed="81"/>
            <rFont val="Tahoma"/>
            <family val="2"/>
            <charset val="238"/>
          </rPr>
          <t>Piotr Mierzejewski:</t>
        </r>
        <r>
          <rPr>
            <sz val="9"/>
            <color indexed="81"/>
            <rFont val="Tahoma"/>
            <family val="2"/>
            <charset val="238"/>
          </rPr>
          <t xml:space="preserve">
Koszty zmiany klimatu – dla pociągów elektrycznych (pasażerskich, towarowych) dodatkowo uwzględniony spadek wskaźnika emisji CO2 sieciowej energii elektrycznej. </t>
        </r>
      </text>
    </comment>
  </commentList>
</comments>
</file>

<file path=xl/sharedStrings.xml><?xml version="1.0" encoding="utf-8"?>
<sst xmlns="http://schemas.openxmlformats.org/spreadsheetml/2006/main" count="2733" uniqueCount="710">
  <si>
    <t>Koniec roku:</t>
  </si>
  <si>
    <t>Koszty jednostkowe zmian klimatu</t>
  </si>
  <si>
    <t>Kurs wymiany (średnioroczny)</t>
  </si>
  <si>
    <t>EUR/PLN</t>
  </si>
  <si>
    <t>Źródło: ECB, http://sdw.ecb.europa.eu/quickview.do?SERIES_KEY=120.EXR.A.PLN.EUR.SP00.A</t>
  </si>
  <si>
    <t>Inflacja średnioroczna CPI dla Polski</t>
  </si>
  <si>
    <t>HGV</t>
  </si>
  <si>
    <t>Teren płaski</t>
  </si>
  <si>
    <t>Nawierzchnia nowa</t>
  </si>
  <si>
    <t>Nawierzchnia zdegradowana</t>
  </si>
  <si>
    <t>LV</t>
  </si>
  <si>
    <t>km/h</t>
  </si>
  <si>
    <t>Falisty</t>
  </si>
  <si>
    <t>Płaski</t>
  </si>
  <si>
    <t>0-10</t>
  </si>
  <si>
    <t>131-140</t>
  </si>
  <si>
    <t>Inflacja średnioroczna CPI dla Polski, GUS, wskaźnik (rok poprzedni =100)</t>
  </si>
  <si>
    <t>Zmiana liczby ludności, wskaźnik (rok poprzedni =1)</t>
  </si>
  <si>
    <t>Zmiana liczby ludności Polski, wskaźnik (rok poprzedni =1)</t>
  </si>
  <si>
    <t>Źródło: GUS, Prognoza ludności na lata 2014-2050, 2014</t>
  </si>
  <si>
    <t xml:space="preserve">Przyjęto założenie, że po roku 2050 liczba ludności Polski będzie malała w takim samym tempie, jak średnio w latach 2041-2050. </t>
  </si>
  <si>
    <t>Źródło: Opracowanie własne CUPT</t>
  </si>
  <si>
    <r>
      <t xml:space="preserve">WSPÓŁCZYNNIKI INDEKSACJI WARTOŚCI PIENIĘŻNYCH </t>
    </r>
    <r>
      <rPr>
        <b/>
        <u/>
        <sz val="12"/>
        <rFont val="Calibri"/>
        <family val="2"/>
        <charset val="238"/>
        <scheme val="minor"/>
      </rPr>
      <t>NA KONIEC DANEGO ROKU</t>
    </r>
  </si>
  <si>
    <t>Jest tak, ponieważ wg wytycznych dot. AKK przy dyskontowaniu przyjmuje się, że przepływy pieniężne przypadają na początek okresów rocznych (dla roku bazowego współczynnik dyskonta wynosi 1).</t>
  </si>
  <si>
    <t>DANE ŹRÓDŁOWE</t>
  </si>
  <si>
    <t>Źródło: Obliczenia własne CUPT na podst. GUS, https://stat.gov.pl/wskazniki-makroekonomiczne/</t>
  </si>
  <si>
    <t>EUR/PLN kurs wymiany (średnioroczny)</t>
  </si>
  <si>
    <t>11-20</t>
  </si>
  <si>
    <t>21-30</t>
  </si>
  <si>
    <t>31-40</t>
  </si>
  <si>
    <t>41-50</t>
  </si>
  <si>
    <t>51-60</t>
  </si>
  <si>
    <t>61-70</t>
  </si>
  <si>
    <t>71-80</t>
  </si>
  <si>
    <t>81-90</t>
  </si>
  <si>
    <t>91-100</t>
  </si>
  <si>
    <t>101-110</t>
  </si>
  <si>
    <t>111-120</t>
  </si>
  <si>
    <t>121-130</t>
  </si>
  <si>
    <t>VOC, koszty eksploatacji pojazdów</t>
  </si>
  <si>
    <t>inflacja PL do roku bazowego</t>
  </si>
  <si>
    <r>
      <t>Stawka jednostkowa, 
PLN /tCO</t>
    </r>
    <r>
      <rPr>
        <vertAlign val="subscript"/>
        <sz val="11"/>
        <color theme="1"/>
        <rFont val="Calibri"/>
        <family val="2"/>
        <charset val="238"/>
        <scheme val="minor"/>
      </rPr>
      <t>2</t>
    </r>
    <r>
      <rPr>
        <sz val="11"/>
        <color theme="1"/>
        <rFont val="Calibri"/>
        <family val="2"/>
        <charset val="238"/>
        <scheme val="minor"/>
      </rPr>
      <t>e indeksowane na koniec danego roku</t>
    </r>
  </si>
  <si>
    <t>[PLN/poj-km]</t>
  </si>
  <si>
    <t>Teren</t>
  </si>
  <si>
    <t>Mnożniki nachylenia podłużnego drogi</t>
  </si>
  <si>
    <t>Mnożniki jakości nawierzchni drogi</t>
  </si>
  <si>
    <t>Koszty jednostkowe zmian klimatu, transport drogowy</t>
  </si>
  <si>
    <r>
      <t>Rekomendowane przez EBI stawki jednostkowe kosztu ukrytego zmiany klimatu (€</t>
    </r>
    <r>
      <rPr>
        <vertAlign val="subscript"/>
        <sz val="11"/>
        <color theme="1"/>
        <rFont val="Calibri"/>
        <family val="2"/>
        <charset val="238"/>
        <scheme val="minor"/>
      </rPr>
      <t>2016</t>
    </r>
    <r>
      <rPr>
        <sz val="11"/>
        <color theme="1"/>
        <rFont val="Calibri"/>
        <family val="2"/>
        <charset val="238"/>
        <scheme val="minor"/>
      </rPr>
      <t>/tCO</t>
    </r>
    <r>
      <rPr>
        <vertAlign val="subscript"/>
        <sz val="11"/>
        <color theme="1"/>
        <rFont val="Calibri"/>
        <family val="2"/>
        <charset val="238"/>
        <scheme val="minor"/>
      </rPr>
      <t>2</t>
    </r>
    <r>
      <rPr>
        <sz val="11"/>
        <color theme="1"/>
        <rFont val="Calibri"/>
        <family val="2"/>
        <charset val="238"/>
        <scheme val="minor"/>
      </rPr>
      <t>e) dla okresu 2020-2050</t>
    </r>
  </si>
  <si>
    <t>Przelicznik MJ --&gt; kWh</t>
  </si>
  <si>
    <t>Pociągi pasażerskie elektryczne</t>
  </si>
  <si>
    <t>Pociągi towarowe elektryczne</t>
  </si>
  <si>
    <t>J --&gt; MJ</t>
  </si>
  <si>
    <t>W --&gt; kW</t>
  </si>
  <si>
    <t>s --&gt; h</t>
  </si>
  <si>
    <t xml:space="preserve">Pojazdy drogowe, 
elektryczne i hybrydowe-elektryczne: </t>
  </si>
  <si>
    <t>Zużycie energii 
(kWh/ poj-km)</t>
  </si>
  <si>
    <t>Samochód osobowy, hybrydowy benzyna +elektryczny</t>
  </si>
  <si>
    <t>Przeciętnie</t>
  </si>
  <si>
    <t>Obszar miejski</t>
  </si>
  <si>
    <t>Samochód osobowy, elektryczny (średni rozmiar)</t>
  </si>
  <si>
    <t>Samochód osobowy, elektryczny (średni rozmiar), przeciętnie wszystkie warunki ruchu</t>
  </si>
  <si>
    <t>Autobus miejski, hybrydowy diesel +elektryczny (standardowy)</t>
  </si>
  <si>
    <t>Autobus miejski, elektryczny (standardowy)</t>
  </si>
  <si>
    <r>
      <t>Wartość (€</t>
    </r>
    <r>
      <rPr>
        <vertAlign val="subscript"/>
        <sz val="11"/>
        <color theme="1"/>
        <rFont val="Calibri"/>
        <family val="2"/>
        <charset val="238"/>
        <scheme val="minor"/>
      </rPr>
      <t>2016</t>
    </r>
    <r>
      <rPr>
        <sz val="11"/>
        <color theme="1"/>
        <rFont val="Calibri"/>
        <family val="2"/>
        <charset val="238"/>
        <scheme val="minor"/>
      </rPr>
      <t>/tCO</t>
    </r>
    <r>
      <rPr>
        <vertAlign val="subscript"/>
        <sz val="11"/>
        <color theme="1"/>
        <rFont val="Calibri"/>
        <family val="2"/>
        <charset val="238"/>
        <scheme val="minor"/>
      </rPr>
      <t>2</t>
    </r>
    <r>
      <rPr>
        <sz val="11"/>
        <color theme="1"/>
        <rFont val="Calibri"/>
        <family val="2"/>
        <charset val="238"/>
        <scheme val="minor"/>
      </rPr>
      <t>e)</t>
    </r>
  </si>
  <si>
    <t>Polska</t>
  </si>
  <si>
    <r>
      <t>Wskaźniki emisyjności [g CO</t>
    </r>
    <r>
      <rPr>
        <b/>
        <vertAlign val="subscript"/>
        <sz val="11"/>
        <color theme="1"/>
        <rFont val="Calibri"/>
        <family val="2"/>
        <charset val="238"/>
        <scheme val="minor"/>
      </rPr>
      <t>2</t>
    </r>
    <r>
      <rPr>
        <b/>
        <sz val="11"/>
        <color theme="1"/>
        <rFont val="Calibri"/>
        <family val="2"/>
        <charset val="238"/>
        <scheme val="minor"/>
      </rPr>
      <t>(e)/ poj-km]</t>
    </r>
  </si>
  <si>
    <t>Wskaźniki emisyjności transportu</t>
  </si>
  <si>
    <t>Transport drogowy</t>
  </si>
  <si>
    <t>Pierwotne źródło danych wykazane w "EIB Project Carbon Footprint Methodologies": COPERT (narzędzie do obliczania emisji opracowane przez EEA) completed with STREAM (CE DELFT)</t>
  </si>
  <si>
    <t>Samochody osobowe</t>
  </si>
  <si>
    <t>Rodzaj paliwa</t>
  </si>
  <si>
    <t>Olej napędowy</t>
  </si>
  <si>
    <t>Gaz CNG</t>
  </si>
  <si>
    <t>Gaz LPG</t>
  </si>
  <si>
    <t>Benzyna</t>
  </si>
  <si>
    <t>Elektryczne</t>
  </si>
  <si>
    <t xml:space="preserve">Dla potrzeb analizy projektów przedstawianych do oceny przez CUPT należy przyjąć następujące założenia: </t>
  </si>
  <si>
    <t>koniec 2019</t>
  </si>
  <si>
    <t>Gaz ciekły (LPG)</t>
  </si>
  <si>
    <t>Gaz ziemny sprężony (CNG)</t>
  </si>
  <si>
    <t>Energia elektryczna</t>
  </si>
  <si>
    <t>RAZEM</t>
  </si>
  <si>
    <t>Ciągniki siodłowe</t>
  </si>
  <si>
    <t>Autobusy 
(oprócz miejskich)</t>
  </si>
  <si>
    <t>Suma powyższych</t>
  </si>
  <si>
    <t>Struktura floty pojazdów LV</t>
  </si>
  <si>
    <t>Struktura floty pojazdów HGV</t>
  </si>
  <si>
    <t>Spalinowe (olej napędowy)</t>
  </si>
  <si>
    <t>Hybrydowe (paliwa +elektryczne)</t>
  </si>
  <si>
    <t>Źródło: Obliczenia własne</t>
  </si>
  <si>
    <t>Samoch. ciężarowe</t>
  </si>
  <si>
    <t>Inflacja średnioroczna CPI dla Polski, skumulowana od 2019</t>
  </si>
  <si>
    <t>PLN/kWh</t>
  </si>
  <si>
    <t>Źródło: Eurostat, Electricity prices components for non-household consumers - annual data, https://ec.europa.eu/eurostat/databrowser/view/NRG_PC_205_C__custom_519166/default/table?lang=en</t>
  </si>
  <si>
    <t>Energia elektryczna dla konsumentów nie będących gospodarstwami domowymi, średnia ważona dla wszystkich poziomów zużycia</t>
  </si>
  <si>
    <t>Zużycie energii 
(MJ/ poj-km)</t>
  </si>
  <si>
    <t>Koszt jednostkowy energii elektrycznej do silników samochodowych</t>
  </si>
  <si>
    <t>Koszty jednostkowe posiadania samochodu elektrycznego</t>
  </si>
  <si>
    <t>[PLN/ poj-km]</t>
  </si>
  <si>
    <t>LV spalinowe</t>
  </si>
  <si>
    <t>HGV spalinowe</t>
  </si>
  <si>
    <t>LV elektryczne</t>
  </si>
  <si>
    <t>Autobus miejski</t>
  </si>
  <si>
    <t>Mnożniki do uwzględnienia</t>
  </si>
  <si>
    <t>Nawierzchnia</t>
  </si>
  <si>
    <t>Nowa</t>
  </si>
  <si>
    <t>Zdegradowana</t>
  </si>
  <si>
    <t>Struktura floty samochodów ciężarowych</t>
  </si>
  <si>
    <t>Scenariusz ETSeq:</t>
  </si>
  <si>
    <t>Scenariusz TechPro:</t>
  </si>
  <si>
    <t>Scenariusz ProETSeq:</t>
  </si>
  <si>
    <t>Struktura floty samochodów osobowych, przyjęty scenariusz Bazowy</t>
  </si>
  <si>
    <t>Struktura floty samochodów osobowych, Scenariusz Bazowy:</t>
  </si>
  <si>
    <t>Koszty jednostkowe zanieczyszczenia powietrza, transport drogowy</t>
  </si>
  <si>
    <t>Drogi szybkiego ruchu (A, S)</t>
  </si>
  <si>
    <t>€-cent/ poj-km (€2016)</t>
  </si>
  <si>
    <t>Gaz</t>
  </si>
  <si>
    <t>Autobusy miejskie, spalinowe</t>
  </si>
  <si>
    <t>Samochody osobowe, spalinowe</t>
  </si>
  <si>
    <t>PLN/ poj-km</t>
  </si>
  <si>
    <t>Przelicznik €-cent --&gt; €</t>
  </si>
  <si>
    <t xml:space="preserve">Według opracowania źródłowego, poniższe mnożniki dotyczą wszystkich kategorii kosztów użytkowników dróg, oprócz kosztów czasu. </t>
  </si>
  <si>
    <t>Drogi miejskie inne niż A, S</t>
  </si>
  <si>
    <t>Drogi zamiejskie inne niż A, S</t>
  </si>
  <si>
    <t>&lt;50 km/h</t>
  </si>
  <si>
    <t>&gt;100 km/h</t>
  </si>
  <si>
    <r>
      <t>NO</t>
    </r>
    <r>
      <rPr>
        <vertAlign val="subscript"/>
        <sz val="11"/>
        <color theme="1"/>
        <rFont val="Calibri"/>
        <family val="2"/>
        <charset val="238"/>
        <scheme val="minor"/>
      </rPr>
      <t>x</t>
    </r>
  </si>
  <si>
    <t>NMVOC</t>
  </si>
  <si>
    <r>
      <t>SO</t>
    </r>
    <r>
      <rPr>
        <vertAlign val="subscript"/>
        <sz val="11"/>
        <color theme="1"/>
        <rFont val="Calibri"/>
        <family val="2"/>
        <charset val="238"/>
        <scheme val="minor"/>
      </rPr>
      <t>2</t>
    </r>
  </si>
  <si>
    <r>
      <t>PM</t>
    </r>
    <r>
      <rPr>
        <vertAlign val="subscript"/>
        <sz val="11"/>
        <color theme="1"/>
        <rFont val="Calibri"/>
        <family val="2"/>
        <charset val="238"/>
        <scheme val="minor"/>
      </rPr>
      <t>2.5</t>
    </r>
  </si>
  <si>
    <t>€2016/kg</t>
  </si>
  <si>
    <r>
      <t>NH</t>
    </r>
    <r>
      <rPr>
        <vertAlign val="subscript"/>
        <sz val="11"/>
        <color theme="1"/>
        <rFont val="Calibri"/>
        <family val="2"/>
        <charset val="238"/>
        <scheme val="minor"/>
      </rPr>
      <t>3</t>
    </r>
  </si>
  <si>
    <r>
      <t>PM</t>
    </r>
    <r>
      <rPr>
        <vertAlign val="subscript"/>
        <sz val="11"/>
        <color theme="1"/>
        <rFont val="Calibri"/>
        <family val="2"/>
        <charset val="238"/>
        <scheme val="minor"/>
      </rPr>
      <t>10</t>
    </r>
  </si>
  <si>
    <t>transport</t>
  </si>
  <si>
    <t>city (*)</t>
  </si>
  <si>
    <t>rural (*)</t>
  </si>
  <si>
    <t>metropole (*)</t>
  </si>
  <si>
    <t>average (**)</t>
  </si>
  <si>
    <t>EU-28</t>
  </si>
  <si>
    <t>Poland</t>
  </si>
  <si>
    <r>
      <t xml:space="preserve">Zestawienie uwzględnia </t>
    </r>
    <r>
      <rPr>
        <u/>
        <sz val="11"/>
        <color theme="1"/>
        <rFont val="Calibri"/>
        <family val="2"/>
        <charset val="238"/>
        <scheme val="minor"/>
      </rPr>
      <t>koszty jednostkowe średnie</t>
    </r>
    <r>
      <rPr>
        <sz val="11"/>
        <color theme="1"/>
        <rFont val="Calibri"/>
        <family val="2"/>
        <charset val="238"/>
        <scheme val="minor"/>
      </rPr>
      <t xml:space="preserve"> (nie krańcowe). </t>
    </r>
  </si>
  <si>
    <r>
      <t>NO</t>
    </r>
    <r>
      <rPr>
        <vertAlign val="subscript"/>
        <sz val="11"/>
        <color theme="1"/>
        <rFont val="Calibri"/>
        <family val="2"/>
        <charset val="238"/>
        <scheme val="minor"/>
      </rPr>
      <t>x</t>
    </r>
    <r>
      <rPr>
        <sz val="11"/>
        <color theme="1"/>
        <rFont val="Calibri"/>
        <family val="2"/>
        <charset val="238"/>
        <scheme val="minor"/>
      </rPr>
      <t xml:space="preserve"> transport, obszar miejski</t>
    </r>
  </si>
  <si>
    <r>
      <t>NO</t>
    </r>
    <r>
      <rPr>
        <vertAlign val="subscript"/>
        <sz val="11"/>
        <color theme="1"/>
        <rFont val="Calibri"/>
        <family val="2"/>
        <charset val="238"/>
        <scheme val="minor"/>
      </rPr>
      <t>x</t>
    </r>
    <r>
      <rPr>
        <sz val="11"/>
        <color theme="1"/>
        <rFont val="Calibri"/>
        <family val="2"/>
        <charset val="238"/>
        <scheme val="minor"/>
      </rPr>
      <t xml:space="preserve"> transport, obszar zamiejski</t>
    </r>
  </si>
  <si>
    <r>
      <t>PM</t>
    </r>
    <r>
      <rPr>
        <vertAlign val="subscript"/>
        <sz val="11"/>
        <color theme="1"/>
        <rFont val="Calibri"/>
        <family val="2"/>
        <charset val="238"/>
        <scheme val="minor"/>
      </rPr>
      <t>2.5</t>
    </r>
    <r>
      <rPr>
        <sz val="11"/>
        <color theme="1"/>
        <rFont val="Calibri"/>
        <family val="2"/>
        <charset val="238"/>
        <scheme val="minor"/>
      </rPr>
      <t xml:space="preserve"> transport, obszar miejski</t>
    </r>
  </si>
  <si>
    <r>
      <t>PM</t>
    </r>
    <r>
      <rPr>
        <vertAlign val="subscript"/>
        <sz val="11"/>
        <color theme="1"/>
        <rFont val="Calibri"/>
        <family val="2"/>
        <charset val="238"/>
        <scheme val="minor"/>
      </rPr>
      <t>2.5</t>
    </r>
    <r>
      <rPr>
        <sz val="11"/>
        <color theme="1"/>
        <rFont val="Calibri"/>
        <family val="2"/>
        <charset val="238"/>
        <scheme val="minor"/>
      </rPr>
      <t xml:space="preserve"> transport, obszar zamiejski</t>
    </r>
  </si>
  <si>
    <r>
      <t>PM</t>
    </r>
    <r>
      <rPr>
        <vertAlign val="subscript"/>
        <sz val="11"/>
        <color theme="1"/>
        <rFont val="Calibri"/>
        <family val="2"/>
        <charset val="238"/>
        <scheme val="minor"/>
      </rPr>
      <t>10</t>
    </r>
    <r>
      <rPr>
        <sz val="11"/>
        <color theme="1"/>
        <rFont val="Calibri"/>
        <family val="2"/>
        <charset val="238"/>
        <scheme val="minor"/>
      </rPr>
      <t xml:space="preserve"> transport średnio</t>
    </r>
  </si>
  <si>
    <t>Samochody ciężarowe, spalinowe (olej napędowy)</t>
  </si>
  <si>
    <t>LV elektryczne i hybrydowe-elektryczne</t>
  </si>
  <si>
    <t>HGV spalinowe (olej napędowy)</t>
  </si>
  <si>
    <t>Pojazdy drogowe spalinowe</t>
  </si>
  <si>
    <t>Autobusy miejskie elektryczne</t>
  </si>
  <si>
    <t>Jednostkowe koszty eksploatacji pojazdów [PLN/pojkm]</t>
  </si>
  <si>
    <t xml:space="preserve">Podane stawki jednostkowe kosztów obejmują: </t>
  </si>
  <si>
    <t>Samochody ciężarowe</t>
  </si>
  <si>
    <t>Kategoria</t>
  </si>
  <si>
    <t>Klasa</t>
  </si>
  <si>
    <t>Liczba</t>
  </si>
  <si>
    <t>Średni przebieg roczny</t>
  </si>
  <si>
    <t>szt.</t>
  </si>
  <si>
    <t>km</t>
  </si>
  <si>
    <t>poj-km</t>
  </si>
  <si>
    <t>€-cent/ poj-km</t>
  </si>
  <si>
    <t>Samochody dostawcze</t>
  </si>
  <si>
    <t>Autobusy miejskie</t>
  </si>
  <si>
    <t>Autokary</t>
  </si>
  <si>
    <t>Praca eksploatacyjna</t>
  </si>
  <si>
    <t>Autokary, spalinowe</t>
  </si>
  <si>
    <t>Samochody dostawcze, spalinowe</t>
  </si>
  <si>
    <t>Wypadki</t>
  </si>
  <si>
    <t>UE-28</t>
  </si>
  <si>
    <t>Polska/ UE-28</t>
  </si>
  <si>
    <t>brak</t>
  </si>
  <si>
    <t>Polska/ 
UE-28</t>
  </si>
  <si>
    <t>Przelicznik kg --&gt; tony</t>
  </si>
  <si>
    <t>Krańcowe koszty jednostkowe zanieczyszczenia powietrza 2016 €-cent/ poj-km, do indeksacji</t>
  </si>
  <si>
    <t>Ciężarowe lekkie</t>
  </si>
  <si>
    <t>Diesel</t>
  </si>
  <si>
    <t>Średnie koszty jednostkowe zanieczyszczenia powietrza 2016 €-cent/ poj-km, do określenia proporcji Polska/ UE-28</t>
  </si>
  <si>
    <r>
      <t>PM</t>
    </r>
    <r>
      <rPr>
        <vertAlign val="subscript"/>
        <sz val="11"/>
        <color theme="1"/>
        <rFont val="Calibri"/>
        <family val="2"/>
        <charset val="238"/>
        <scheme val="minor"/>
      </rPr>
      <t>2.5</t>
    </r>
    <r>
      <rPr>
        <sz val="11"/>
        <color theme="1"/>
        <rFont val="Calibri"/>
        <family val="2"/>
        <charset val="238"/>
        <scheme val="minor"/>
      </rPr>
      <t xml:space="preserve"> transport, metropolia (*)</t>
    </r>
  </si>
  <si>
    <t>Rodzaj efektu zewnętrznego</t>
  </si>
  <si>
    <t>Trasport kolejowy</t>
  </si>
  <si>
    <t>Autobusy</t>
  </si>
  <si>
    <t>Motocykle</t>
  </si>
  <si>
    <t>Towarowy</t>
  </si>
  <si>
    <r>
      <t xml:space="preserve">Zanieczyszczenie </t>
    </r>
    <r>
      <rPr>
        <sz val="9"/>
        <color theme="1"/>
        <rFont val="Calibri"/>
        <family val="2"/>
        <charset val="238"/>
        <scheme val="minor"/>
      </rPr>
      <t>dolnych warstw atmosfery</t>
    </r>
  </si>
  <si>
    <t>Hałas</t>
  </si>
  <si>
    <t>Wskaźnik przeliczenia na statki morskie</t>
  </si>
  <si>
    <r>
      <t xml:space="preserve">Kongestia </t>
    </r>
    <r>
      <rPr>
        <sz val="9"/>
        <color theme="1"/>
        <rFont val="Calibri"/>
        <family val="2"/>
        <charset val="238"/>
        <scheme val="minor"/>
      </rPr>
      <t>(koszty opóźnień)</t>
    </r>
  </si>
  <si>
    <t>Zmiany klimatu</t>
  </si>
  <si>
    <t>2016 €-cent/ pas-km</t>
  </si>
  <si>
    <t>Pociągi pasażerskie spalinowe</t>
  </si>
  <si>
    <t>Loty krótkodystansowe</t>
  </si>
  <si>
    <t>Loty średniodystansowe</t>
  </si>
  <si>
    <t>Loty długodystansowe</t>
  </si>
  <si>
    <t>Transport lotniczy (*)</t>
  </si>
  <si>
    <t>Samochody dostawcze, benzyna</t>
  </si>
  <si>
    <t>Samochody ciężarowe ogółem</t>
  </si>
  <si>
    <t>Pociągi towarowe spalinowe</t>
  </si>
  <si>
    <t>Transport kolejowy</t>
  </si>
  <si>
    <t>Żegluga śródlądowa</t>
  </si>
  <si>
    <t>Żegluga morska</t>
  </si>
  <si>
    <t>TRANSPORT PASAŻERSKI</t>
  </si>
  <si>
    <t>TRANSPORT TOWAROWY</t>
  </si>
  <si>
    <t>2016 €-cent/ poj-km</t>
  </si>
  <si>
    <t>2016 €-cent/ ton-km</t>
  </si>
  <si>
    <t>Wskaźnik (rok poprzedni =1)</t>
  </si>
  <si>
    <t>Sam. dostawcze, olej napędowy</t>
  </si>
  <si>
    <t>PLN/ pas-km</t>
  </si>
  <si>
    <t>PLN/ ton-km</t>
  </si>
  <si>
    <t>Średnie koszty jednostkowe, Polska, 2016 €-cent</t>
  </si>
  <si>
    <t>Zużycie paliwa [ltr/ poj-km]</t>
  </si>
  <si>
    <t>Koszt jednostkowy paliwa do silników samochodowych</t>
  </si>
  <si>
    <t>PLN/ltr</t>
  </si>
  <si>
    <t>Olej napędowy ON</t>
  </si>
  <si>
    <t>Źródło: https://www.autocentrum.pl/paliwa/ceny-paliw/</t>
  </si>
  <si>
    <t>http://climatecake.pl/wp-content/uploads/2020/10/%C5%9Acie%C5%BCki-redukcji-emisji-CO2-w-sektorze-transportu-w-PL-w-kontek%C5%9Bcie-Europejskiego-Zielonego-%C5%81adu.pdf</t>
  </si>
  <si>
    <t>Średni koszt jednostkowy paliwa, bez podatków i opłat, wartości nominalne wg poziomu cenowego 2019</t>
  </si>
  <si>
    <t>Paliwo dla LV spalinowych, średnio</t>
  </si>
  <si>
    <t>Paliwo dla HGV spalinowych, średnio</t>
  </si>
  <si>
    <t>Koszty jednostkowe posiadania samochodu spalinowego</t>
  </si>
  <si>
    <t>LV spalinowe, teren płaski, nawierzchnia nowa</t>
  </si>
  <si>
    <t>Zastosowanie:</t>
  </si>
  <si>
    <t>LV, teren płaski, 
nawierzchnia nowa</t>
  </si>
  <si>
    <t>Koszty jednostkowe zanieczyszczenia powietrza, transport lądowy ogółem</t>
  </si>
  <si>
    <t>Koszty jednostkowe efektów zewnętrznych transportu – ogółem</t>
  </si>
  <si>
    <t xml:space="preserve">Wpływ nachylenia drogi na emisje gazów cieplarnianych przez pojazdy drogowe przyjęto na takim samym poziomie, jak wpływ na zużycie paliwa. </t>
  </si>
  <si>
    <t>Wskaźniki cen produkcji budowlano-montażowej, Polska, GUS (rok poprzedni =100)</t>
  </si>
  <si>
    <t>Koszty jednostkowe utrzymania infrastruktury drogowej</t>
  </si>
  <si>
    <t>inflacja cen produkcji budowlano-montażowej PL do roku bazowego</t>
  </si>
  <si>
    <t xml:space="preserve">Handbook on the External Costs of Transport, EC (January 2019) </t>
  </si>
  <si>
    <t>Norma silnika</t>
  </si>
  <si>
    <t>Jednostka</t>
  </si>
  <si>
    <t>NMHC/NMVOC</t>
  </si>
  <si>
    <t>PM</t>
  </si>
  <si>
    <t>Regulacja</t>
  </si>
  <si>
    <t>Regulacja - pełna nazwa</t>
  </si>
  <si>
    <t>EURO I</t>
  </si>
  <si>
    <t>1992-1996.10</t>
  </si>
  <si>
    <t>g/kWh</t>
  </si>
  <si>
    <t>EURO II</t>
  </si>
  <si>
    <t>1996.10-2000.10</t>
  </si>
  <si>
    <t>EURO III</t>
  </si>
  <si>
    <t>2000.10-2005.10</t>
  </si>
  <si>
    <t>EURO IV</t>
  </si>
  <si>
    <t>2005.10-2008.10</t>
  </si>
  <si>
    <t>EURO V</t>
  </si>
  <si>
    <t>2008.10-2012.12</t>
  </si>
  <si>
    <t>EURO VI</t>
  </si>
  <si>
    <t>2013+</t>
  </si>
  <si>
    <t>Zgodnie z parametrami silnika</t>
  </si>
  <si>
    <t>Wartość energetyczna Diesla</t>
  </si>
  <si>
    <t>MJ/l</t>
  </si>
  <si>
    <t>Rozporządzenie Prezesa Rady Ministrów z dnia 10.05.2011 r. w sprawie innych niż cena obowiązkowych kryteriów oceny ofert w odniesieniu do niektórych rodzajów zamówień publicznych</t>
  </si>
  <si>
    <t>1 kWh</t>
  </si>
  <si>
    <t>=</t>
  </si>
  <si>
    <t>MJ</t>
  </si>
  <si>
    <t>kWh/l</t>
  </si>
  <si>
    <t>Spalanie przez dany autobus na 100 km</t>
  </si>
  <si>
    <t>l/100 km</t>
  </si>
  <si>
    <t>100 km</t>
  </si>
  <si>
    <t>kWh/km</t>
  </si>
  <si>
    <t>Kategoria EURO</t>
  </si>
  <si>
    <t>g/km</t>
  </si>
  <si>
    <t>Autobus - CNG</t>
  </si>
  <si>
    <t>Wartość energetyczna CNG</t>
  </si>
  <si>
    <t>Nm3/100 km</t>
  </si>
  <si>
    <t>Autobus - elektryczny</t>
  </si>
  <si>
    <t>Lata</t>
  </si>
  <si>
    <t>[1] Gęstość paliwa (g/litr)</t>
  </si>
  <si>
    <t>Polska, sieciowa</t>
  </si>
  <si>
    <t>g --&gt; kg</t>
  </si>
  <si>
    <t>Wyszczególnienie</t>
  </si>
  <si>
    <t>kg/MWh</t>
  </si>
  <si>
    <t>Struktura źródeł energii elektrycznej wytwarzanej w Polsce</t>
  </si>
  <si>
    <t>GWh</t>
  </si>
  <si>
    <t>%</t>
  </si>
  <si>
    <t>TWh</t>
  </si>
  <si>
    <t>Krajowe wskaźniki emisyjności sieciowej energii elektrycznej</t>
  </si>
  <si>
    <t>Wskaźniki emisji w [kg/MWh] dla odbiorców końcowych sieciowej energii elektrycznej</t>
  </si>
  <si>
    <r>
      <t>Wskaźnik emisji CO</t>
    </r>
    <r>
      <rPr>
        <vertAlign val="subscript"/>
        <sz val="11"/>
        <color theme="1"/>
        <rFont val="Calibri"/>
        <family val="2"/>
        <charset val="238"/>
        <scheme val="minor"/>
      </rPr>
      <t>2</t>
    </r>
    <r>
      <rPr>
        <sz val="11"/>
        <color theme="1"/>
        <rFont val="Calibri"/>
        <family val="2"/>
        <charset val="238"/>
        <scheme val="minor"/>
      </rPr>
      <t xml:space="preserve"> dla odbiorców końcowych sieciowej energii elektrycznej</t>
    </r>
  </si>
  <si>
    <t xml:space="preserve">UWAGA: </t>
  </si>
  <si>
    <r>
      <t>CO</t>
    </r>
    <r>
      <rPr>
        <b/>
        <vertAlign val="subscript"/>
        <sz val="11"/>
        <color theme="1"/>
        <rFont val="Calibri"/>
        <family val="2"/>
        <charset val="238"/>
        <scheme val="minor"/>
      </rPr>
      <t>2</t>
    </r>
  </si>
  <si>
    <r>
      <t>SO</t>
    </r>
    <r>
      <rPr>
        <b/>
        <vertAlign val="subscript"/>
        <sz val="11"/>
        <color theme="1"/>
        <rFont val="Calibri"/>
        <family val="2"/>
        <charset val="238"/>
        <scheme val="minor"/>
      </rPr>
      <t>2</t>
    </r>
  </si>
  <si>
    <r>
      <t>NO</t>
    </r>
    <r>
      <rPr>
        <b/>
        <vertAlign val="subscript"/>
        <sz val="11"/>
        <color theme="1"/>
        <rFont val="Calibri"/>
        <family val="2"/>
        <charset val="238"/>
        <scheme val="minor"/>
      </rPr>
      <t>x</t>
    </r>
  </si>
  <si>
    <r>
      <t>[2] kg CO</t>
    </r>
    <r>
      <rPr>
        <i/>
        <vertAlign val="subscript"/>
        <sz val="11"/>
        <color theme="1"/>
        <rFont val="Calibri"/>
        <family val="2"/>
        <charset val="238"/>
        <scheme val="minor"/>
      </rPr>
      <t>2</t>
    </r>
    <r>
      <rPr>
        <i/>
        <sz val="11"/>
        <color theme="1"/>
        <rFont val="Calibri"/>
        <family val="2"/>
        <charset val="238"/>
        <scheme val="minor"/>
      </rPr>
      <t>/ litr paliwa</t>
    </r>
  </si>
  <si>
    <r>
      <t>MJ/Nm</t>
    </r>
    <r>
      <rPr>
        <vertAlign val="superscript"/>
        <sz val="11"/>
        <color theme="1"/>
        <rFont val="Calibri"/>
        <family val="2"/>
        <charset val="238"/>
        <scheme val="minor"/>
      </rPr>
      <t>3</t>
    </r>
  </si>
  <si>
    <r>
      <t>kWh/Nm</t>
    </r>
    <r>
      <rPr>
        <vertAlign val="superscript"/>
        <sz val="11"/>
        <color theme="1"/>
        <rFont val="Calibri"/>
        <family val="2"/>
        <charset val="238"/>
        <scheme val="minor"/>
      </rPr>
      <t>3</t>
    </r>
  </si>
  <si>
    <r>
      <t>litr --&gt; m</t>
    </r>
    <r>
      <rPr>
        <vertAlign val="superscript"/>
        <sz val="11"/>
        <color theme="1"/>
        <rFont val="Calibri"/>
        <family val="2"/>
        <charset val="238"/>
        <scheme val="minor"/>
      </rPr>
      <t>3</t>
    </r>
  </si>
  <si>
    <r>
      <t>[1] kg CO</t>
    </r>
    <r>
      <rPr>
        <i/>
        <vertAlign val="subscript"/>
        <sz val="11"/>
        <color theme="1"/>
        <rFont val="Calibri"/>
        <family val="2"/>
        <charset val="238"/>
        <scheme val="minor"/>
      </rPr>
      <t>2</t>
    </r>
    <r>
      <rPr>
        <i/>
        <sz val="11"/>
        <color theme="1"/>
        <rFont val="Calibri"/>
        <family val="2"/>
        <charset val="238"/>
        <scheme val="minor"/>
      </rPr>
      <t>/ kg paliwa</t>
    </r>
  </si>
  <si>
    <r>
      <t>[1] kg CO</t>
    </r>
    <r>
      <rPr>
        <i/>
        <vertAlign val="subscript"/>
        <sz val="11"/>
        <color theme="1"/>
        <rFont val="Calibri"/>
        <family val="2"/>
        <charset val="238"/>
        <scheme val="minor"/>
      </rPr>
      <t>2</t>
    </r>
    <r>
      <rPr>
        <i/>
        <sz val="11"/>
        <color theme="1"/>
        <rFont val="Calibri"/>
        <family val="2"/>
        <charset val="238"/>
        <scheme val="minor"/>
      </rPr>
      <t>/ litr paliwa</t>
    </r>
  </si>
  <si>
    <r>
      <t>[1] kg CO</t>
    </r>
    <r>
      <rPr>
        <i/>
        <vertAlign val="subscript"/>
        <sz val="11"/>
        <color theme="1"/>
        <rFont val="Calibri"/>
        <family val="2"/>
        <charset val="238"/>
        <scheme val="minor"/>
      </rPr>
      <t>2</t>
    </r>
    <r>
      <rPr>
        <i/>
        <sz val="11"/>
        <color theme="1"/>
        <rFont val="Calibri"/>
        <family val="2"/>
        <charset val="238"/>
        <scheme val="minor"/>
      </rPr>
      <t>/ m</t>
    </r>
    <r>
      <rPr>
        <i/>
        <vertAlign val="superscript"/>
        <sz val="11"/>
        <color theme="1"/>
        <rFont val="Calibri"/>
        <family val="2"/>
        <charset val="238"/>
        <scheme val="minor"/>
      </rPr>
      <t>3</t>
    </r>
    <r>
      <rPr>
        <i/>
        <sz val="11"/>
        <color theme="1"/>
        <rFont val="Calibri"/>
        <family val="2"/>
        <charset val="238"/>
        <scheme val="minor"/>
      </rPr>
      <t xml:space="preserve"> paliwa</t>
    </r>
  </si>
  <si>
    <r>
      <t>CO</t>
    </r>
    <r>
      <rPr>
        <vertAlign val="subscript"/>
        <sz val="11"/>
        <color theme="1"/>
        <rFont val="Calibri"/>
        <family val="2"/>
        <charset val="238"/>
        <scheme val="minor"/>
      </rPr>
      <t>2</t>
    </r>
    <r>
      <rPr>
        <sz val="11"/>
        <color theme="1"/>
        <rFont val="Calibri"/>
        <family val="2"/>
        <charset val="238"/>
        <scheme val="minor"/>
      </rPr>
      <t xml:space="preserve"> kg/km</t>
    </r>
  </si>
  <si>
    <r>
      <t>CO</t>
    </r>
    <r>
      <rPr>
        <vertAlign val="subscript"/>
        <sz val="11"/>
        <color theme="1"/>
        <rFont val="Calibri"/>
        <family val="2"/>
        <charset val="238"/>
        <scheme val="minor"/>
      </rPr>
      <t>2</t>
    </r>
    <r>
      <rPr>
        <sz val="11"/>
        <color theme="1"/>
        <rFont val="Calibri"/>
        <family val="2"/>
        <charset val="238"/>
        <scheme val="minor"/>
      </rPr>
      <t xml:space="preserve"> g/kWh</t>
    </r>
  </si>
  <si>
    <r>
      <t>Powyższa wartość wskaźnika emisyjności CO</t>
    </r>
    <r>
      <rPr>
        <vertAlign val="subscript"/>
        <sz val="11"/>
        <color theme="1"/>
        <rFont val="Calibri"/>
        <family val="2"/>
        <charset val="238"/>
        <scheme val="minor"/>
      </rPr>
      <t>2</t>
    </r>
    <r>
      <rPr>
        <sz val="11"/>
        <color theme="1"/>
        <rFont val="Calibri"/>
        <family val="2"/>
        <charset val="238"/>
        <scheme val="minor"/>
      </rPr>
      <t xml:space="preserve"> dotyczy roku 2019. </t>
    </r>
  </si>
  <si>
    <r>
      <t>Zmiany wskaźnika emisji CO</t>
    </r>
    <r>
      <rPr>
        <u/>
        <vertAlign val="subscript"/>
        <sz val="11"/>
        <color theme="10"/>
        <rFont val="Calibri"/>
        <family val="2"/>
        <charset val="238"/>
        <scheme val="minor"/>
      </rPr>
      <t>2</t>
    </r>
    <r>
      <rPr>
        <u/>
        <sz val="11"/>
        <color theme="10"/>
        <rFont val="Calibri"/>
        <family val="2"/>
        <charset val="238"/>
        <scheme val="minor"/>
      </rPr>
      <t xml:space="preserve"> względem roku 2019</t>
    </r>
  </si>
  <si>
    <t xml:space="preserve">Wskaźniki zużycia paliwa przez pojazdy spalinowe (łącznie dla wszystkich rodzajów paliw) pozostaną na wyjściowym poziomie (2019). </t>
  </si>
  <si>
    <r>
      <t>kg CO</t>
    </r>
    <r>
      <rPr>
        <vertAlign val="subscript"/>
        <sz val="11"/>
        <color theme="1"/>
        <rFont val="Calibri"/>
        <family val="2"/>
        <charset val="238"/>
        <scheme val="minor"/>
      </rPr>
      <t>2</t>
    </r>
    <r>
      <rPr>
        <sz val="11"/>
        <color theme="1"/>
        <rFont val="Calibri"/>
        <family val="2"/>
        <charset val="238"/>
        <scheme val="minor"/>
      </rPr>
      <t>/ kg paliwa</t>
    </r>
  </si>
  <si>
    <t>Gęstość paliwa (g/litr)</t>
  </si>
  <si>
    <r>
      <t>kg CO</t>
    </r>
    <r>
      <rPr>
        <vertAlign val="subscript"/>
        <sz val="11"/>
        <color theme="1"/>
        <rFont val="Calibri"/>
        <family val="2"/>
        <charset val="238"/>
        <scheme val="minor"/>
      </rPr>
      <t>2</t>
    </r>
    <r>
      <rPr>
        <sz val="11"/>
        <color theme="1"/>
        <rFont val="Calibri"/>
        <family val="2"/>
        <charset val="238"/>
        <scheme val="minor"/>
      </rPr>
      <t>/ litr paliwa</t>
    </r>
  </si>
  <si>
    <r>
      <t>kg CO</t>
    </r>
    <r>
      <rPr>
        <vertAlign val="subscript"/>
        <sz val="11"/>
        <color theme="1"/>
        <rFont val="Calibri"/>
        <family val="2"/>
        <charset val="238"/>
        <scheme val="minor"/>
      </rPr>
      <t>2</t>
    </r>
    <r>
      <rPr>
        <sz val="11"/>
        <color theme="1"/>
        <rFont val="Calibri"/>
        <family val="2"/>
        <charset val="238"/>
        <scheme val="minor"/>
      </rPr>
      <t>/ m</t>
    </r>
    <r>
      <rPr>
        <vertAlign val="superscript"/>
        <sz val="11"/>
        <color theme="1"/>
        <rFont val="Calibri"/>
        <family val="2"/>
        <charset val="238"/>
        <scheme val="minor"/>
      </rPr>
      <t>3</t>
    </r>
    <r>
      <rPr>
        <sz val="11"/>
        <color theme="1"/>
        <rFont val="Calibri"/>
        <family val="2"/>
        <charset val="238"/>
        <scheme val="minor"/>
      </rPr>
      <t xml:space="preserve"> paliwa</t>
    </r>
  </si>
  <si>
    <t>Źródło: Eurostat, https://ec.europa.eu/eurostat/data/database Main GDP aggregates per capita [nama_10_pc] (aktualizacja 28.01.2022)</t>
  </si>
  <si>
    <t>Transport pasażerski drogowy, 
Samochody osobowe</t>
  </si>
  <si>
    <t>[PLN/pas-km]</t>
  </si>
  <si>
    <t>Indeksacja ECT 2019 po roku bazowym</t>
  </si>
  <si>
    <r>
      <t>Zmiany kosztu jednostkowego emisji CO</t>
    </r>
    <r>
      <rPr>
        <b/>
        <vertAlign val="subscript"/>
        <sz val="11"/>
        <color theme="1"/>
        <rFont val="Calibri"/>
        <family val="2"/>
        <charset val="238"/>
        <scheme val="minor"/>
      </rPr>
      <t>2</t>
    </r>
  </si>
  <si>
    <r>
      <t>Zmiany kosztu jednostkowego emisji CO</t>
    </r>
    <r>
      <rPr>
        <vertAlign val="subscript"/>
        <sz val="11"/>
        <color theme="1"/>
        <rFont val="Calibri"/>
        <family val="2"/>
        <charset val="238"/>
        <scheme val="minor"/>
      </rPr>
      <t>2</t>
    </r>
    <r>
      <rPr>
        <sz val="11"/>
        <color theme="1"/>
        <rFont val="Calibri"/>
        <family val="2"/>
        <charset val="238"/>
        <scheme val="minor"/>
      </rPr>
      <t xml:space="preserve"> rok-do-roku</t>
    </r>
  </si>
  <si>
    <t>Zmiana wskaźnika rok-do-roku</t>
  </si>
  <si>
    <r>
      <t>Zmiany wskaźnika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2019</t>
    </r>
  </si>
  <si>
    <r>
      <t>Zmiany wskaźnika emisji CO</t>
    </r>
    <r>
      <rPr>
        <vertAlign val="subscript"/>
        <sz val="11"/>
        <color theme="1"/>
        <rFont val="Calibri"/>
        <family val="2"/>
        <charset val="238"/>
        <scheme val="minor"/>
      </rPr>
      <t>2</t>
    </r>
    <r>
      <rPr>
        <sz val="11"/>
        <color theme="1"/>
        <rFont val="Calibri"/>
        <family val="2"/>
        <charset val="238"/>
        <scheme val="minor"/>
      </rPr>
      <t xml:space="preserve"> 
rok-do-roku</t>
    </r>
  </si>
  <si>
    <r>
      <t>Zmiany wskaźnika emisji CO</t>
    </r>
    <r>
      <rPr>
        <b/>
        <vertAlign val="subscript"/>
        <sz val="11"/>
        <color theme="1"/>
        <rFont val="Calibri"/>
        <family val="2"/>
        <charset val="238"/>
        <scheme val="minor"/>
      </rPr>
      <t>2</t>
    </r>
    <r>
      <rPr>
        <b/>
        <sz val="11"/>
        <color theme="1"/>
        <rFont val="Calibri"/>
        <family val="2"/>
        <charset val="238"/>
        <scheme val="minor"/>
      </rPr>
      <t xml:space="preserve"> w [g/kWh] dla odbiorców końcowych sieciowej energii elektrycznej </t>
    </r>
  </si>
  <si>
    <r>
      <t>Zmiany wskaźnika emisji CO</t>
    </r>
    <r>
      <rPr>
        <u/>
        <vertAlign val="subscript"/>
        <sz val="11"/>
        <color theme="10"/>
        <rFont val="Calibri"/>
        <family val="2"/>
        <charset val="238"/>
        <scheme val="minor"/>
      </rPr>
      <t>2</t>
    </r>
    <r>
      <rPr>
        <u/>
        <sz val="11"/>
        <color theme="10"/>
        <rFont val="Calibri"/>
        <family val="2"/>
        <charset val="238"/>
        <scheme val="minor"/>
      </rPr>
      <t xml:space="preserve"> po roku bazowym</t>
    </r>
  </si>
  <si>
    <t>Transport pasażerski kolejowy</t>
  </si>
  <si>
    <r>
      <t>Zmiany kosztu jednostkowego CO</t>
    </r>
    <r>
      <rPr>
        <u/>
        <vertAlign val="subscript"/>
        <sz val="11"/>
        <color theme="10"/>
        <rFont val="Calibri"/>
        <family val="2"/>
        <charset val="238"/>
        <scheme val="minor"/>
      </rPr>
      <t>2</t>
    </r>
    <r>
      <rPr>
        <u/>
        <sz val="11"/>
        <color theme="10"/>
        <rFont val="Calibri"/>
        <family val="2"/>
        <charset val="238"/>
        <scheme val="minor"/>
      </rPr>
      <t xml:space="preserve"> po roku bazowym</t>
    </r>
  </si>
  <si>
    <t>Koszty eksploatacji pojazdów spalinowych [PLN/pojkm]</t>
  </si>
  <si>
    <t xml:space="preserve">Nota metodologiczna </t>
  </si>
  <si>
    <t>Poziom cen na dzień:</t>
  </si>
  <si>
    <t>Nota metodologiczna</t>
  </si>
  <si>
    <t>LV ogółem, teren płaski, nawierzchnia nowa</t>
  </si>
  <si>
    <t>HGV ogółem, teren płaski, nawierzchnia nowa</t>
  </si>
  <si>
    <r>
      <t xml:space="preserve">Koszty jednostkowe eksploatacji pojazdów </t>
    </r>
    <r>
      <rPr>
        <b/>
        <u/>
        <sz val="11"/>
        <color theme="1"/>
        <rFont val="Calibri"/>
        <family val="2"/>
        <charset val="238"/>
        <scheme val="minor"/>
      </rPr>
      <t>spalinowych</t>
    </r>
    <r>
      <rPr>
        <b/>
        <sz val="11"/>
        <color theme="1"/>
        <rFont val="Calibri"/>
        <family val="2"/>
        <charset val="238"/>
        <scheme val="minor"/>
      </rPr>
      <t xml:space="preserve"> [PLN/pojkm]</t>
    </r>
  </si>
  <si>
    <t>Inflacja średnioroczna CPI dla Polski, skumulowana od 2016 do roku bazowego</t>
  </si>
  <si>
    <t xml:space="preserve">Poniższa przykładowa tabela uwzględnia zmiany struktury floty pojazdów drogowych pod względem rodzaju paliwa (napęd spalinowy, elektryczny) w kolejnych latach projekcji. </t>
  </si>
  <si>
    <t>Parametry do przeliczeń walutowych i indeksacji wartości pieniężnych</t>
  </si>
  <si>
    <r>
      <t xml:space="preserve">Dla roku bazowego 2022 właściwe do zastosowania w analizie są wartości kosztów jednostkowych określone według poziomu cenowego </t>
    </r>
    <r>
      <rPr>
        <u/>
        <sz val="11"/>
        <color theme="1"/>
        <rFont val="Calibri"/>
        <family val="2"/>
        <charset val="238"/>
        <scheme val="minor"/>
      </rPr>
      <t>z końca roku poprzedniego</t>
    </r>
    <r>
      <rPr>
        <sz val="11"/>
        <color theme="1"/>
        <rFont val="Calibri"/>
        <family val="2"/>
        <charset val="238"/>
        <scheme val="minor"/>
      </rPr>
      <t>, tzn. 2021.</t>
    </r>
  </si>
  <si>
    <t>Zmiana PKB Polski w cenach stałych średniorocznych (rok poprzedni =100)</t>
  </si>
  <si>
    <t>Ludność Polski ogółem (w dniu 31.XII), tys.</t>
  </si>
  <si>
    <t>Zmiana PKB Polski per capita w cenach stałych średniorocznych (rok poprzedni =100)</t>
  </si>
  <si>
    <t>Zmiana PKB Polski w cenach stałych średniorocznych – prognoza MinFin</t>
  </si>
  <si>
    <t>Liczba ludności Polski (w dniu 31.XII) – prognoza GUS</t>
  </si>
  <si>
    <t>Zmiana PKB Polski per capita w cenach stałych średniorocznych – prognoza</t>
  </si>
  <si>
    <r>
      <t xml:space="preserve">Koszty jednostkowe dla poszczególnych Krajów Członkowskich zostały przedstawione w "Handbook on the External Costs of Transport" na przeciętnym poziomie cenowym dla UE28 i w EUR 2016 </t>
    </r>
    <r>
      <rPr>
        <sz val="11"/>
        <color theme="1"/>
        <rFont val="Calibri"/>
        <family val="2"/>
        <charset val="238"/>
      </rPr>
      <t>–</t>
    </r>
    <r>
      <rPr>
        <sz val="11"/>
        <color theme="1"/>
        <rFont val="Calibri"/>
        <family val="2"/>
        <charset val="238"/>
        <scheme val="minor"/>
      </rPr>
      <t xml:space="preserve"> patrz: "Handbook…", rozdział 1.3.6. </t>
    </r>
  </si>
  <si>
    <t xml:space="preserve">Dlatego w niniejszym pliku wyjściowe koszty jednostkowe wyrażone w EUR 2016 zostały przemnożone przez dwa czynniki, w celu dostosowania ich do poziomu cenowego właściwego dla Polski: </t>
  </si>
  <si>
    <r>
      <rPr>
        <sz val="11"/>
        <color theme="1"/>
        <rFont val="Calibri"/>
        <family val="2"/>
        <charset val="238"/>
      </rPr>
      <t>[1] </t>
    </r>
    <r>
      <rPr>
        <sz val="11"/>
        <color theme="1"/>
        <rFont val="Calibri"/>
        <family val="2"/>
        <charset val="238"/>
        <scheme val="minor"/>
      </rPr>
      <t xml:space="preserve">kurs walutowy PLN/EUR za rok 2016, oraz [2] PKB Polski per capita za rok 2016, wyrażony w jednostkach siły nabywczej (Purchasing Power Standards, PPS). </t>
    </r>
  </si>
  <si>
    <t xml:space="preserve">Następnie zastosowano indeksację wartości wyrażonych w PLN do poziomu cenowego właściwego dla określonego roku bazowego oraz na kolejne lata. </t>
  </si>
  <si>
    <t xml:space="preserve">Źródło: Handbook on the External Costs of Transport, EC (January 2019), chapter 2.4 Value transfer approach, chapter 1.3.6 Price level </t>
  </si>
  <si>
    <t xml:space="preserve">Tę samą logikę zastosowano konsekwentnie również do [1] kosztów jednostkowych czasu w przewozach ładunków transportem kolejowym, oraz do [2] kosztów jednostkowych eksploatacji pociągów w przewozach ładunków. W tych dwóch przypadkach wyjściowe koszty jednostkowe pochodzą z innego opracowania i dotyczą roku 2010. </t>
  </si>
  <si>
    <t>Produkt krajowy brutto na 1 mieszkańca, Polska w PPS (UE 28=100)</t>
  </si>
  <si>
    <t xml:space="preserve">Na początku roku 2020 Unię Europejską opuściła Wielka Brytania. Od tej pory punktem odniesienia dla wskaźników jest UE 27=100. Seria wskaźników dla UE 28=100 nie jest kontynuowana, wskaźniki dla lat poprzednich zostały przeliczone przez Eurostat. </t>
  </si>
  <si>
    <t>VoT, koszty czasu w transporcie</t>
  </si>
  <si>
    <t>Elastyczność X</t>
  </si>
  <si>
    <t>Indeksacja = X * (PKB per cap PL) * (inflacja PL do roku bazowego)</t>
  </si>
  <si>
    <t>Koszty jednostkowe inne niż VoT i VOC, też ECT 2019 po roku bazowym</t>
  </si>
  <si>
    <t>Elastyczność Y</t>
  </si>
  <si>
    <t>Indeksacja = Y * (PKB per cap PL) * (inflacja PL do roku bazowego)</t>
  </si>
  <si>
    <t>ECT 2019 na rok bazowy</t>
  </si>
  <si>
    <t>Indeksacja = Y * (PKB per cap PL) * (inflacja PL do roku bazowego), 
skumulowane od 2016</t>
  </si>
  <si>
    <t xml:space="preserve">UWAGA: NINIEJSZY ARKUSZ ZAKŁADA 2022 JAKO ROK BAZOWY ANALIZY. INDEKSACJĘ WYKONANO NA KONIEC 2021 R. </t>
  </si>
  <si>
    <t xml:space="preserve">Brak konieczności dodatkowego przeliczenia jeżeli rok bazowy analizy to 2022. Jeżeli rok bazowy analizy jest inny, to należy uwzględnić indeksację odpowiednią dla danej kategorii kosztów jednostkowych, zgodnie z formułami zawartymi w tym pliku. </t>
  </si>
  <si>
    <t>Dla roku 2022 właściwe do zastosowania w analizie są wartości kosztów jednostkowych określone według poziomu cenowego z końca roku poprzedniego, tzn. 2021.</t>
  </si>
  <si>
    <t>Produkt krajowy brutto na 1 mieszkańca, w PPS (UE 28=100)</t>
  </si>
  <si>
    <t>Koszty jednostkowe eksploatacji pojazdów w transporcie drogowym</t>
  </si>
  <si>
    <t>Prognoza zmian struktury floty pojazdów drogowych w Polsce pod względem rodzaju paliwa</t>
  </si>
  <si>
    <r>
      <t>Źródło prognoz na 2030 i 2050: "Ścieżki redukcji emisji CO</t>
    </r>
    <r>
      <rPr>
        <i/>
        <vertAlign val="subscript"/>
        <sz val="11"/>
        <color theme="1"/>
        <rFont val="Calibri"/>
        <family val="2"/>
        <charset val="238"/>
        <scheme val="minor"/>
      </rPr>
      <t>2</t>
    </r>
    <r>
      <rPr>
        <i/>
        <sz val="11"/>
        <color theme="1"/>
        <rFont val="Calibri"/>
        <family val="2"/>
        <charset val="238"/>
        <scheme val="minor"/>
      </rPr>
      <t xml:space="preserve"> w sektorze transportu w Polsce w kontekście „Europejskiego Zielonego Ładu”" CAKE/KOBiZE, październik 2020, str. 27, Rys. 13.</t>
    </r>
  </si>
  <si>
    <t>Dla sytuacji wyjściowej (koniec 2019) przyjęto uproszczenie, że udział samochodów na CNG, hybrydowych i elektrycznych wynosi 0%.</t>
  </si>
  <si>
    <t xml:space="preserve">Przyjęto założenie, że wśród reprezentatywnych pojazdów HGV (samochodów ciężarowych i autobusów międzymiastowych) udział oleju napędowego wynosi wyjściowo 100% (koniec 2019) i taki pozostanie. 
Powyższe założenia nie dotyczą autobusów komunikacji miejskiej. W przypadku wymiany lub rozbudowy floty takich pojazdów należy przyjąć założenia właściwe dla danego projektu (por. zakładka "E-busy emisje"). </t>
  </si>
  <si>
    <t>Pojazdy samochodowe w Polsce według wybranych rodzajów stosowanego paliwa na koniec 2019 roku</t>
  </si>
  <si>
    <t>Samoch. ciężarowe i ciągniki siodłowe</t>
  </si>
  <si>
    <t>Benzyna i energia elektryczna (hybryda)</t>
  </si>
  <si>
    <t>Olej napędowy i energia elektryczna (hybryda)</t>
  </si>
  <si>
    <t>Pozostałe, nie określone</t>
  </si>
  <si>
    <t>Źródło: Transport - wyniki działalności w 2019 roku, GUS, wrzesień 2020, Tablica 20 (53), liczby w pozycji "Razem" według Tablica 12 (45) i Tablica 13 (46)</t>
  </si>
  <si>
    <t>Benzyna i gaz</t>
  </si>
  <si>
    <t>Elektryczne i hybrydowe</t>
  </si>
  <si>
    <t>Spalinowe, w tym:</t>
  </si>
  <si>
    <t>Struktura floty reprezentatywnych spalinowych pojazdów drogowych pod względem rodzajów paliwa, przyjęta na potrzeby określenia kosztów jednostkowych eksploatacji samochodów</t>
  </si>
  <si>
    <t xml:space="preserve">W poniższych tabelach dane dla pojazdów drogowych spalinowych dotyczą całości reprezentatywnej floty pojazdów w Polsce z 2019 roku, z uwzględnieniem wszystkich rodzajów paliw. </t>
  </si>
  <si>
    <t xml:space="preserve">Dla uproszczenia należy przyjąć, że aktualnie udział pojazdów elektrycznych (w tym również hybrydowych-elektrycznych) w całej flocie pojazdów poruszających się po drogach w Polsce wynosi 0%. </t>
  </si>
  <si>
    <t xml:space="preserve">Aktualnie flota pojazdów drogowych składa się w 100% zpojazdów spalinowych i 0% pojazdów elektrycznych. </t>
  </si>
  <si>
    <r>
      <t xml:space="preserve">We flocie samochodów osobowych udziały pojazdów elektrycznych będą rosły, a pojazdów spalinowych </t>
    </r>
    <r>
      <rPr>
        <sz val="11"/>
        <color theme="1"/>
        <rFont val="Calibri"/>
        <family val="2"/>
        <charset val="238"/>
      </rPr>
      <t>–</t>
    </r>
    <r>
      <rPr>
        <sz val="11"/>
        <color theme="1"/>
        <rFont val="Calibri"/>
        <family val="2"/>
        <charset val="238"/>
        <scheme val="minor"/>
      </rPr>
      <t xml:space="preserve"> malały (w tym samym tempie dla wszystkich rodzajów paliw), zgodnie z przyjętym scenariuszem prognoz. </t>
    </r>
  </si>
  <si>
    <t xml:space="preserve">Pomiędzy stanem aktualnym i rokiem 2030, a następnie pomiędzy latami scenariusza 2030 i 2050, udziały będą się zmieniały według interpolacji liniowej. Dla dalszych lat należy przyjąć strukturę jak w roku 2050. </t>
  </si>
  <si>
    <r>
      <t>1. Pojazdy drogowe spalinowe</t>
    </r>
    <r>
      <rPr>
        <sz val="11"/>
        <color theme="1"/>
        <rFont val="Calibri"/>
        <family val="2"/>
        <charset val="238"/>
        <scheme val="minor"/>
      </rPr>
      <t xml:space="preserve"> (bez elektrycznych i hybrydowo-elektrycznych – patrz poniżej w pkt 2) </t>
    </r>
  </si>
  <si>
    <t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t>
  </si>
  <si>
    <t xml:space="preserve">Mnożniki te należy stosować do łącznych VOC (nie tylko do kosztów zużycia paliwa lub energii elektrycznej). </t>
  </si>
  <si>
    <t xml:space="preserve">- Różnica wartości wskaźnika szorstkości nawierzchni IRI pomiędzy drogą o nawierzchni dobrej (IRI około 1-2 m/km) i zdegradowanej (IRI około 6-7 m/km). </t>
  </si>
  <si>
    <t xml:space="preserve">- Siła wpływu oddziaływania pogorszenia jakości nawierzchni na warunki użytkowania drogi dla pojazdów LV i HGV. </t>
  </si>
  <si>
    <r>
      <t xml:space="preserve">- Korzyść z poprawy jakości nawierzchni przy prędkościach do 50 km/h stanowi </t>
    </r>
    <r>
      <rPr>
        <u/>
        <sz val="11"/>
        <color theme="1"/>
        <rFont val="Calibri"/>
        <family val="2"/>
        <charset val="238"/>
        <scheme val="minor"/>
      </rPr>
      <t>połowę</t>
    </r>
    <r>
      <rPr>
        <sz val="11"/>
        <color theme="1"/>
        <rFont val="Calibri"/>
        <family val="2"/>
        <charset val="238"/>
        <scheme val="minor"/>
      </rPr>
      <t xml:space="preserve"> korzyści z poprawy jakości nawierzchni przy prędkościach powyżej 100 km/h. </t>
    </r>
  </si>
  <si>
    <t>Źródło: "Optimisation of Maintenance", OECD/ITF 2012, str. 12</t>
  </si>
  <si>
    <t xml:space="preserve">Dodatkowo, dla dróg w terenie falistym (tzn. jeśli nachylenie podłużne drogi wynosi pomiędzy 2% i 6%), należy przemnożyć wartości dla terenu płaskiego przez poniższe współczynniki. </t>
  </si>
  <si>
    <t xml:space="preserve">Pominięto współczynniki dla dróg w terenie górskim, tj. o nachyleniu podłużnym powyżej 6%, ponieważ nie mają one istotnego znaczenia dla oceny przez CUPT projektów transportowych realizowanych w Polsce. </t>
  </si>
  <si>
    <t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t>
  </si>
  <si>
    <t>Średnioroczne ceny detaliczne wybranych rodzajów paliw samochodowych w Polsce</t>
  </si>
  <si>
    <t xml:space="preserve">Udział podatków i opłat w cenach detalicznych paliw w Polsce </t>
  </si>
  <si>
    <t>Benzyna Pb 95</t>
  </si>
  <si>
    <t>Źródło: Polska Organizacja Przemysłu i Handlu Naftowego</t>
  </si>
  <si>
    <r>
      <t>Wartości przedstawione w: "Ścieżki redukcji emisji CO</t>
    </r>
    <r>
      <rPr>
        <i/>
        <vertAlign val="subscript"/>
        <sz val="11"/>
        <color theme="1"/>
        <rFont val="Calibri"/>
        <family val="2"/>
        <charset val="238"/>
        <scheme val="minor"/>
      </rPr>
      <t>2</t>
    </r>
    <r>
      <rPr>
        <i/>
        <sz val="11"/>
        <color theme="1"/>
        <rFont val="Calibri"/>
        <family val="2"/>
        <charset val="238"/>
        <scheme val="minor"/>
      </rPr>
      <t xml:space="preserve"> w sektorze transportu w Polsce w kontekście „Europejskiego Zielonego Ładu”", CAKE/KOBiZE, październik 2020, str. 21, Rys. 8. Struktura ceny detalicznej benzyny EU95 i oleju napędowego średnio w 2019 r. w Polsce</t>
    </r>
  </si>
  <si>
    <t>Ceny detaliczne wybranych rodzajów paliw samochodowych w Polsce, bez podatków i opłat</t>
  </si>
  <si>
    <t xml:space="preserve">Zużycie pojazdu (odpisy wartości zakupu) i inne koszty związane z obsługą i posiadaniem samochodu, bez podatków i opłat. </t>
  </si>
  <si>
    <t>Źródło: Obliczenia własne na podstawie "Optimisation of Maintenance", OECD/ITF 2012, str. 12</t>
  </si>
  <si>
    <t xml:space="preserve">[1] koszt zużycia paliwa, bez podatków i opłat </t>
  </si>
  <si>
    <t xml:space="preserve">[2] zużycie pojazdu (odpisy wartości zakupu) i inne koszty związane z obsługą i posiadaniem samochodu, bez podatków i opłat </t>
  </si>
  <si>
    <t xml:space="preserve">Stawki jednostkowe kosztów nie obejmują podatków i opłat, aby uwzględnić ceny rozrachunkowe (shadow prices) zasobów na rynku zakłóconym przez regulację i transfery fiskalne. </t>
  </si>
  <si>
    <r>
      <t xml:space="preserve">Koszty jednostkowe eksploatacji samochodów </t>
    </r>
    <r>
      <rPr>
        <b/>
        <u/>
        <sz val="11"/>
        <color theme="1"/>
        <rFont val="Calibri"/>
        <family val="2"/>
        <charset val="238"/>
        <scheme val="minor"/>
      </rPr>
      <t>spalinowych</t>
    </r>
    <r>
      <rPr>
        <b/>
        <sz val="11"/>
        <color theme="1"/>
        <rFont val="Calibri"/>
        <family val="2"/>
        <charset val="238"/>
        <scheme val="minor"/>
      </rPr>
      <t>, bez podatków i opłat – przykład kształtowania się kosztu w latach [PLN/poj-km] (ceny realne od 2022 r.), wartości na koniec danego roku</t>
    </r>
  </si>
  <si>
    <t xml:space="preserve">Zakłada się brak realnego wzrostu jednostkowych kosztów eksploatacji pojazdów w czasie. Dlatego należy uwzględnić tylko indeksację nominalną do roku bazowego wskaźnikiem inflacji CPI. </t>
  </si>
  <si>
    <t>2. Pojazdy drogowe elektryczne i hybrydowe-elektryczne</t>
  </si>
  <si>
    <t>Wskaźniki zużycia energii w transporcie</t>
  </si>
  <si>
    <t>Źródło: "EIB Project Carbon Footprint Methodologies" (wersja 11.1, lipiec 2020), Tables A1.7 Transport Emissions Factors - Road transport</t>
  </si>
  <si>
    <t>Średnioroczna cena detaliczna energii elektrycznej w Polsce, bez podatków i opłat</t>
  </si>
  <si>
    <t xml:space="preserve">Do celów analiz kosztów i korzyści bardziej stosowna jest cena energii elektrycznej dla konsumentów nie będących gospodarstwami domowymi. </t>
  </si>
  <si>
    <t xml:space="preserve">Ceny energii elektrycznej dla gospodarstw domowych podlegają zniekształceniom powodowanym przez regulację taryf, która ma na celu ochronę tych konsumentów. </t>
  </si>
  <si>
    <t xml:space="preserve">Przyjęto upraszczające założenie, że w kategorii LV koszty jednostkowe posiadania samochodu elektrycznego są takie same jak dla samochodu spalinowego. </t>
  </si>
  <si>
    <r>
      <t xml:space="preserve">Koszty jednostkowe eksploatacji samochodów </t>
    </r>
    <r>
      <rPr>
        <b/>
        <u/>
        <sz val="11"/>
        <color theme="1"/>
        <rFont val="Calibri"/>
        <family val="2"/>
        <charset val="238"/>
        <scheme val="minor"/>
      </rPr>
      <t>elektrycznych i hybrydowych</t>
    </r>
    <r>
      <rPr>
        <b/>
        <sz val="11"/>
        <color theme="1"/>
        <rFont val="Calibri"/>
        <family val="2"/>
        <charset val="238"/>
        <scheme val="minor"/>
      </rPr>
      <t>, bez podatków i opłat – przykład kształtowania się kosztu w latach [PLN/poj-km] indeksacja w czasie (ceny realne od 2022 r.), wartości na koniec danego roku</t>
    </r>
  </si>
  <si>
    <t xml:space="preserve">Dla potrzeb analiz kosztów i korzyści, spośród wszystkich wartości dostępnych w opracowaniu źródłowym EIB zaleca się wykorzystanie przede wszystkim wartości z pozycji "Samochód osobowy, elektryczny (średni rozmiar)", przeciętnie wszystkie warunki ruchu. </t>
  </si>
  <si>
    <t>Pojazdy drogowe elektryczne i hybrydowe-elektryczne, 
teren płaski, nawierzchnia nowa</t>
  </si>
  <si>
    <t>Samochód osobowy, elektryczny (średni rozmiar), przeciętnie obszar miejski i zamiejski</t>
  </si>
  <si>
    <r>
      <t xml:space="preserve">Koszty jednostkowe eksploatacji </t>
    </r>
    <r>
      <rPr>
        <b/>
        <u/>
        <sz val="11"/>
        <color theme="1"/>
        <rFont val="Calibri"/>
        <family val="2"/>
        <charset val="238"/>
        <scheme val="minor"/>
      </rPr>
      <t>samochodów ogółem</t>
    </r>
    <r>
      <rPr>
        <b/>
        <sz val="11"/>
        <color theme="1"/>
        <rFont val="Calibri"/>
        <family val="2"/>
        <charset val="238"/>
        <scheme val="minor"/>
      </rPr>
      <t xml:space="preserve"> (dla średniej struktury floty pojazdów), bez podatków i opłat – przykład kształtowania się kosztu w latach [PLN/poj-km] indeksacja w czasie (ceny realne od 2022 r.), wartości na koniec danego roku </t>
    </r>
  </si>
  <si>
    <t xml:space="preserve">Poniższa przykładowa tabela uwzględnia zmiany struktury floty pojazdów drogowych pod względem rodzaju paliwa (napęd spalinowy, elektryczny) w kolejnych latach projekcji. </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</si>
  <si>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wierszu 286 oraz do określonych mnożników nachylenia podłużnego drogi oraz jakości nawierzchni drogi. W związku z tym w przypadku zmian (np. zmiany kategorii pojazdu elektrycznego w wierszu 286, terenu na falisty, nawierzchni na zdegradowaną), wartości przedstawione w poniższej tabeli przykładowej nie będą zgodne z opisami. </t>
    </r>
  </si>
  <si>
    <r>
      <t>Wskaźniki emisyjności [g CO</t>
    </r>
    <r>
      <rPr>
        <b/>
        <vertAlign val="subscript"/>
        <sz val="11"/>
        <color theme="1"/>
        <rFont val="Calibri"/>
        <family val="2"/>
        <charset val="238"/>
        <scheme val="minor"/>
      </rPr>
      <t>2</t>
    </r>
    <r>
      <rPr>
        <b/>
        <sz val="11"/>
        <color theme="1"/>
        <rFont val="Calibri"/>
        <family val="2"/>
        <charset val="238"/>
        <scheme val="minor"/>
      </rPr>
      <t>(e)/ poj-km]</t>
    </r>
  </si>
  <si>
    <r>
      <t>Emisyjność GHG [g CO</t>
    </r>
    <r>
      <rPr>
        <b/>
        <vertAlign val="subscript"/>
        <sz val="11"/>
        <color theme="1"/>
        <rFont val="Calibri"/>
        <family val="2"/>
        <charset val="238"/>
        <scheme val="minor"/>
      </rPr>
      <t>2</t>
    </r>
    <r>
      <rPr>
        <b/>
        <sz val="11"/>
        <color theme="1"/>
        <rFont val="Calibri"/>
        <family val="2"/>
        <charset val="238"/>
        <scheme val="minor"/>
      </rPr>
      <t>(e)/ poj-km]</t>
    </r>
  </si>
  <si>
    <t xml:space="preserve">Źródło: Obliczenia własne na podstawie: </t>
  </si>
  <si>
    <t>[1] "Parameterisation of fuel consumption and CO2 emissions of passenger cars and light commercial vehicles for modelling purposes, JRC 2011;</t>
  </si>
  <si>
    <t>[2] EMEP/EEA air pollutant emission inventory guidebook, 2019, dołączony plik: 1.A.3.b.i-iv Road Transport Appendix 4 Emission Factors 2019 (Sept. 2020)</t>
  </si>
  <si>
    <r>
      <t>Powyższe wskaźniki emisyjności dotyczą CO</t>
    </r>
    <r>
      <rPr>
        <vertAlign val="subscript"/>
        <sz val="11"/>
        <color theme="1"/>
        <rFont val="Calibri"/>
        <family val="2"/>
        <charset val="238"/>
        <scheme val="minor"/>
      </rPr>
      <t>2</t>
    </r>
    <r>
      <rPr>
        <sz val="11"/>
        <color theme="1"/>
        <rFont val="Calibri"/>
        <family val="2"/>
        <charset val="238"/>
        <scheme val="minor"/>
      </rPr>
      <t xml:space="preserve"> bez uwzględnienia pozostałych gazów cieplarnianych, tj. metanu CH</t>
    </r>
    <r>
      <rPr>
        <vertAlign val="subscript"/>
        <sz val="11"/>
        <color theme="1"/>
        <rFont val="Calibri"/>
        <family val="2"/>
        <charset val="238"/>
        <scheme val="minor"/>
      </rPr>
      <t>4</t>
    </r>
    <r>
      <rPr>
        <sz val="11"/>
        <color theme="1"/>
        <rFont val="Calibri"/>
        <family val="2"/>
        <charset val="238"/>
        <scheme val="minor"/>
      </rPr>
      <t xml:space="preserve"> (przelicznik x28) i podtlenku azotu N</t>
    </r>
    <r>
      <rPr>
        <vertAlign val="subscript"/>
        <sz val="11"/>
        <color theme="1"/>
        <rFont val="Calibri"/>
        <family val="2"/>
        <charset val="238"/>
        <scheme val="minor"/>
      </rPr>
      <t>2</t>
    </r>
    <r>
      <rPr>
        <sz val="11"/>
        <color theme="1"/>
        <rFont val="Calibri"/>
        <family val="2"/>
        <charset val="238"/>
        <scheme val="minor"/>
      </rPr>
      <t xml:space="preserve">O (przelicznik x265). </t>
    </r>
  </si>
  <si>
    <r>
      <t>Zgodnie z metodyką "EIB Project Carbon Footprint Methodologies" (wersja 11.1, lipiec 2020) przyjęto, że wpływ gazów cieplarnianych innych niż CO</t>
    </r>
    <r>
      <rPr>
        <vertAlign val="subscript"/>
        <sz val="11"/>
        <color theme="1"/>
        <rFont val="Calibri"/>
        <family val="2"/>
        <charset val="238"/>
        <scheme val="minor"/>
      </rPr>
      <t>2</t>
    </r>
    <r>
      <rPr>
        <sz val="11"/>
        <color theme="1"/>
        <rFont val="Calibri"/>
        <family val="2"/>
        <charset val="238"/>
        <scheme val="minor"/>
      </rPr>
      <t xml:space="preserve"> jest pomijalny.  </t>
    </r>
  </si>
  <si>
    <r>
      <t>W związku z tym dla potrzeb obliczeń podane wskaźniki emisyjności można traktować jako dotyczące ekwiwalentu CO</t>
    </r>
    <r>
      <rPr>
        <vertAlign val="subscript"/>
        <sz val="11"/>
        <color theme="1"/>
        <rFont val="Calibri"/>
        <family val="2"/>
        <charset val="238"/>
        <scheme val="minor"/>
      </rPr>
      <t>2</t>
    </r>
    <r>
      <rPr>
        <sz val="11"/>
        <color theme="1"/>
        <rFont val="Calibri"/>
        <family val="2"/>
        <charset val="238"/>
        <scheme val="minor"/>
      </rPr>
      <t xml:space="preserve">. </t>
    </r>
  </si>
  <si>
    <t xml:space="preserve">W obliczeniach mnożników nachylenia podłużnego drogi uwzględniono, że teren falisty zwiększa zużycie paliwa lub energii w pojazdach lekkich o 15%. W przypadku HGV przyjęto dodatkowe założenia dotyczące funkcji zużycia paliwa. </t>
  </si>
  <si>
    <r>
      <t>Koszt jednostkowy ukryty zmiany klimatu, EUR za 1 tonę ekwiwalentu CO</t>
    </r>
    <r>
      <rPr>
        <b/>
        <vertAlign val="subscript"/>
        <sz val="11"/>
        <color theme="1"/>
        <rFont val="Calibri"/>
        <family val="2"/>
        <charset val="238"/>
        <scheme val="minor"/>
      </rPr>
      <t>2</t>
    </r>
    <r>
      <rPr>
        <b/>
        <sz val="11"/>
        <color theme="1"/>
        <rFont val="Calibri"/>
        <family val="2"/>
        <charset val="238"/>
        <scheme val="minor"/>
      </rPr>
      <t xml:space="preserve"> na podstawie EIB Group Climate Bank Roadmap (2020)</t>
    </r>
  </si>
  <si>
    <r>
      <t>Źródło: EIB Group Climate Bank Roadmap 2021-2025 (November 2020), Table A6: Recommended aligned EIB shadow cost of carbon (€2016/tCO</t>
    </r>
    <r>
      <rPr>
        <i/>
        <vertAlign val="subscript"/>
        <sz val="11"/>
        <color theme="1"/>
        <rFont val="Calibri"/>
        <family val="2"/>
        <charset val="238"/>
        <scheme val="minor"/>
      </rPr>
      <t>2</t>
    </r>
    <r>
      <rPr>
        <i/>
        <sz val="11"/>
        <color theme="1"/>
        <rFont val="Calibri"/>
        <family val="2"/>
        <charset val="238"/>
        <scheme val="minor"/>
      </rPr>
      <t>e) for the period 2020-2050.</t>
    </r>
  </si>
  <si>
    <r>
      <t>Koszt jednostkowy emisji gazów cieplarnianych [PLN/t CO</t>
    </r>
    <r>
      <rPr>
        <b/>
        <vertAlign val="subscript"/>
        <sz val="11"/>
        <color theme="1"/>
        <rFont val="Calibri"/>
        <family val="2"/>
        <charset val="238"/>
        <scheme val="minor"/>
      </rPr>
      <t>2</t>
    </r>
    <r>
      <rPr>
        <b/>
        <sz val="11"/>
        <color theme="1"/>
        <rFont val="Calibri"/>
        <family val="2"/>
        <charset val="238"/>
        <scheme val="minor"/>
      </rPr>
      <t>e] – indeksacja w czasie (ceny realne od 2022 r.), wartości na koniec danego roku</t>
    </r>
  </si>
  <si>
    <r>
      <t xml:space="preserve">Koszty jednostkowe zmian klimatu dla pojazdów drogowych </t>
    </r>
    <r>
      <rPr>
        <b/>
        <u/>
        <sz val="11"/>
        <color theme="1"/>
        <rFont val="Calibri"/>
        <family val="2"/>
        <charset val="238"/>
        <scheme val="minor"/>
      </rPr>
      <t>spalinowych</t>
    </r>
    <r>
      <rPr>
        <b/>
        <sz val="11"/>
        <color theme="1"/>
        <rFont val="Calibri"/>
        <family val="2"/>
        <charset val="238"/>
        <scheme val="minor"/>
      </rPr>
      <t xml:space="preserve"> – przykład kształtowania się kosztu w latach [PLN/poj-km] (ceny realne od 2022 r.), wartości na koniec danego roku</t>
    </r>
  </si>
  <si>
    <r>
      <t>Wskaźniki emisyjności w g CO</t>
    </r>
    <r>
      <rPr>
        <vertAlign val="subscript"/>
        <sz val="11"/>
        <color theme="1"/>
        <rFont val="Calibri"/>
        <family val="2"/>
        <charset val="238"/>
        <scheme val="minor"/>
      </rPr>
      <t>2</t>
    </r>
    <r>
      <rPr>
        <sz val="11"/>
        <color theme="1"/>
        <rFont val="Calibri"/>
        <family val="2"/>
        <charset val="238"/>
        <scheme val="minor"/>
      </rPr>
      <t>/kWh (=kg CO</t>
    </r>
    <r>
      <rPr>
        <vertAlign val="subscript"/>
        <sz val="11"/>
        <color theme="1"/>
        <rFont val="Calibri"/>
        <family val="2"/>
        <charset val="238"/>
        <scheme val="minor"/>
      </rPr>
      <t>2</t>
    </r>
    <r>
      <rPr>
        <sz val="11"/>
        <color theme="1"/>
        <rFont val="Calibri"/>
        <family val="2"/>
        <charset val="238"/>
        <scheme val="minor"/>
      </rPr>
      <t>/MWh, =tony CO</t>
    </r>
    <r>
      <rPr>
        <vertAlign val="subscript"/>
        <sz val="11"/>
        <color theme="1"/>
        <rFont val="Calibri"/>
        <family val="2"/>
        <charset val="238"/>
        <scheme val="minor"/>
      </rPr>
      <t>2</t>
    </r>
    <r>
      <rPr>
        <sz val="11"/>
        <color theme="1"/>
        <rFont val="Calibri"/>
        <family val="2"/>
        <charset val="238"/>
        <scheme val="minor"/>
      </rPr>
      <t>/GWh)</t>
    </r>
  </si>
  <si>
    <r>
      <t>Wpływ gazów cieplarnianych innych niż CO</t>
    </r>
    <r>
      <rPr>
        <vertAlign val="subscript"/>
        <sz val="11"/>
        <color theme="1"/>
        <rFont val="Calibri"/>
        <family val="2"/>
        <charset val="238"/>
        <scheme val="minor"/>
      </rPr>
      <t>2</t>
    </r>
    <r>
      <rPr>
        <sz val="11"/>
        <color theme="1"/>
        <rFont val="Calibri"/>
        <family val="2"/>
        <charset val="238"/>
        <scheme val="minor"/>
      </rPr>
      <t xml:space="preserve"> jest pomijalny. W związku z tym dla potrzeb obliczeń podane wskaźniki emisyjności można traktować jako dotyczące ekwiwalentu CO</t>
    </r>
    <r>
      <rPr>
        <vertAlign val="subscript"/>
        <sz val="11"/>
        <color theme="1"/>
        <rFont val="Calibri"/>
        <family val="2"/>
        <charset val="238"/>
        <scheme val="minor"/>
      </rPr>
      <t>2</t>
    </r>
    <r>
      <rPr>
        <sz val="11"/>
        <color theme="1"/>
        <rFont val="Calibri"/>
        <family val="2"/>
        <charset val="238"/>
        <scheme val="minor"/>
      </rPr>
      <t>.</t>
    </r>
  </si>
  <si>
    <t>Produkcja energii elektrycznej w Polsce ogółem</t>
  </si>
  <si>
    <t>w tym elektrownie zawodowe:</t>
  </si>
  <si>
    <t>na węglu kamiennym</t>
  </si>
  <si>
    <t>na węglu brunatnym</t>
  </si>
  <si>
    <t>Udział energii elektrycznej produkowanej z węgla</t>
  </si>
  <si>
    <t xml:space="preserve">Źródło 2010: Raport roczny z funkcjonowania Krajowego Systemu Energetycznego - 2010 r., Polskie Sieci Elektroenergetyczne S.A.; https://www.pse.pl/dane-systemowe/funkcjonowanie-kse/raporty-roczne-z-funkcjonowania-kse-za-rok/raporty-za-rok-2010; Tabela 6.1. Struktura produkcji energii elektrycznej w elektrowniach krajowych, wielkości wymiany energii elektrycznej z zagranicą i krajowe zużycie energii elektrycznej w latach 2008-2010. </t>
  </si>
  <si>
    <t xml:space="preserve">Źródło 2019: Raport roczny z funkcjonowania Krajowego Systemu Energetycznego - 2019 r., PSE S.A.; https://www.pse.pl/dane-systemowe/funkcjonowanie-kse/raporty-roczne-z-funkcjonowania-kse-za-rok/raporty-za-rok-2019; Tabela 6.1. Struktura produkcji energii elektrycznej w elektrowniach krajowych, wielkości wymiany energii elektrycznej z zagranicą i krajowe zużycie energii elektrycznej w latach 2018÷2019 [GWh]. </t>
  </si>
  <si>
    <t xml:space="preserve">Źródło 2020: Raport roczny z funkcjonowania Krajowego Systemu Energetycznego - 2020 r., PSE S.A.; https://www.pse.pl/dane-systemowe/funkcjonowanie-kse/raporty-roczne-z-funkcjonowania-kse-za-rok/raporty-za-rok-2020; Tabela 6.1. Struktura produkcji energii elektrycznej w elektrowniach krajowych, wielkości wymiany energii elektrycznej z zagranicą i krajowe zużycie energii elektrycznej w latach 2018÷2020 [GWh]. </t>
  </si>
  <si>
    <t xml:space="preserve">Źródło 2019: ”Wskaźniki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 https://www.kobize.pl/uploads/materialy/materialy_do_pobrania/wskazniki_emisyjnosci/Wskazniki_emisyjnosci_grudzien_2020.pdf </t>
  </si>
  <si>
    <t xml:space="preserve">Źródło 2010: ”Referencyjny wskaźnik jednostkowej emisyjności dwutlenku węgla przy produkcji energii elektrycznej do wyznaczania poziomu bazowego dla projektów JI realizowanych w Polsce”, Krajowy Ośrodek Bilansowania i Zarządzania Emisjami, Warszawa, czerwiec 2011 r.; https://www.kobize.pl/pl/article/2011/id/137/referencyjny-wskaznik-jednostkowej-emisyjnosci-dwutlenku-wegla-przy-produkcji-energii-elektrycznej-do-wyznaczania-poziomu-bazowego-dla-projektow-ji-realizowanych-w-polsce </t>
  </si>
  <si>
    <r>
      <t>Wskaźnik elastyczności wpływu redukcji energii produkowanej z paliw kopalnych na emisję CO</t>
    </r>
    <r>
      <rPr>
        <vertAlign val="subscript"/>
        <sz val="11"/>
        <color theme="1"/>
        <rFont val="Calibri"/>
        <family val="2"/>
        <charset val="238"/>
        <scheme val="minor"/>
      </rPr>
      <t>2</t>
    </r>
  </si>
  <si>
    <t>Zmiana udziału paliw kopalnych w produkcji energii w latach 2010-2019</t>
  </si>
  <si>
    <r>
      <t>Zmiana poziomu wskaźnika emisji CO</t>
    </r>
    <r>
      <rPr>
        <vertAlign val="subscript"/>
        <sz val="11"/>
        <color theme="1"/>
        <rFont val="Calibri"/>
        <family val="2"/>
        <charset val="238"/>
        <scheme val="minor"/>
      </rPr>
      <t>2</t>
    </r>
    <r>
      <rPr>
        <sz val="11"/>
        <color theme="1"/>
        <rFont val="Calibri"/>
        <family val="2"/>
        <charset val="238"/>
        <scheme val="minor"/>
      </rPr>
      <t xml:space="preserve"> w latach 2010-2019</t>
    </r>
  </si>
  <si>
    <t>Projekcja udziału energii elektrycznej produkowanej z węgla</t>
  </si>
  <si>
    <t xml:space="preserve">Źródło: Polityka energetyczna Polski do roku 2040 (uchwała Rady Ministrów z dnia 2 lutego 2021 r.), Załącznik 2: Wnioski z analiz prognostycznych dla sektora energetycznego, Tabela 22. Prognoza produkcji energii elektrycznej brutto wg paliw [TWh] </t>
  </si>
  <si>
    <r>
      <t>Wskaźnik redukcji emisji CO</t>
    </r>
    <r>
      <rPr>
        <b/>
        <vertAlign val="subscript"/>
        <sz val="11"/>
        <color theme="1"/>
        <rFont val="Calibri"/>
        <family val="2"/>
        <charset val="238"/>
        <scheme val="minor"/>
      </rPr>
      <t>2</t>
    </r>
    <r>
      <rPr>
        <b/>
        <sz val="11"/>
        <color theme="1"/>
        <rFont val="Calibri"/>
        <family val="2"/>
        <charset val="238"/>
        <scheme val="minor"/>
      </rPr>
      <t xml:space="preserve"> na skutek ograniczenia produkcji energii elektrycznej w oparciu o paliwa kopalne (węgiel kamienny i węgiel brunatny) </t>
    </r>
  </si>
  <si>
    <t xml:space="preserve">Spadek udziału paliw kopalnych w produkcji energii elektrycznej względem 2019 r. </t>
  </si>
  <si>
    <r>
      <t>Redukcja emisji CO</t>
    </r>
    <r>
      <rPr>
        <vertAlign val="subscript"/>
        <sz val="11"/>
        <color theme="1"/>
        <rFont val="Calibri"/>
        <family val="2"/>
        <charset val="238"/>
        <scheme val="minor"/>
      </rPr>
      <t>2</t>
    </r>
    <r>
      <rPr>
        <sz val="11"/>
        <color theme="1"/>
        <rFont val="Calibri"/>
        <family val="2"/>
        <charset val="238"/>
        <scheme val="minor"/>
      </rPr>
      <t xml:space="preserve"> z 1 kWh (względem 2019 r.) </t>
    </r>
  </si>
  <si>
    <r>
      <t>Wskaźnik poziomu emisji CO</t>
    </r>
    <r>
      <rPr>
        <b/>
        <vertAlign val="subscript"/>
        <sz val="11"/>
        <color theme="1"/>
        <rFont val="Calibri"/>
        <family val="2"/>
        <charset val="238"/>
        <scheme val="minor"/>
      </rPr>
      <t>2</t>
    </r>
    <r>
      <rPr>
        <b/>
        <sz val="11"/>
        <color theme="1"/>
        <rFont val="Calibri"/>
        <family val="2"/>
        <charset val="238"/>
        <scheme val="minor"/>
      </rPr>
      <t xml:space="preserve"> z 1 kWh (względem 2019 r.) </t>
    </r>
  </si>
  <si>
    <r>
      <t>Wskaźniki emisji CO</t>
    </r>
    <r>
      <rPr>
        <b/>
        <vertAlign val="subscript"/>
        <sz val="11"/>
        <color theme="1"/>
        <rFont val="Calibri"/>
        <family val="2"/>
        <charset val="238"/>
        <scheme val="minor"/>
      </rPr>
      <t>2</t>
    </r>
    <r>
      <rPr>
        <b/>
        <sz val="11"/>
        <color theme="1"/>
        <rFont val="Calibri"/>
        <family val="2"/>
        <charset val="238"/>
        <scheme val="minor"/>
      </rPr>
      <t xml:space="preserve"> w [g/kWh] dla odbiorców końcowych sieciowej energii elektrycznej</t>
    </r>
  </si>
  <si>
    <t xml:space="preserve">KOBiZE, Wskaźniki emisyjności CO2, SO2, NOx, CO i pyłu całkowitego dla energii elektrycznej na podstawie informacji zawartych w Krajowej bazie o emisjach gazów cieplarnianych i innych substancji za 2019 rok i analogiczny raport za rok 2010 </t>
  </si>
  <si>
    <t xml:space="preserve">PSE S.A., Raport roczny z funkcjonowania Krajowego Systemu Energetycznego - 2010 i 2019 r. </t>
  </si>
  <si>
    <t xml:space="preserve">Polityka energetyczna Polski do roku 2040 (Załącznik 2: Wnioski z analiz prognostycznych dla sektora energetycznego, Tabela 22) </t>
  </si>
  <si>
    <t xml:space="preserve">Obliczenia CUPT na podstawie: </t>
  </si>
  <si>
    <t xml:space="preserve">Pojazdy drogowe, 
elektryczne i hybrydowe-elektryczne: </t>
  </si>
  <si>
    <r>
      <t>Emisyjność GHG (*) 
[g CO</t>
    </r>
    <r>
      <rPr>
        <vertAlign val="subscript"/>
        <sz val="11"/>
        <color theme="1"/>
        <rFont val="Calibri"/>
        <family val="2"/>
        <charset val="238"/>
        <scheme val="minor"/>
      </rPr>
      <t>2</t>
    </r>
    <r>
      <rPr>
        <sz val="11"/>
        <color theme="1"/>
        <rFont val="Calibri"/>
        <family val="2"/>
        <charset val="238"/>
        <scheme val="minor"/>
      </rPr>
      <t>(e)/ poj-km]</t>
    </r>
  </si>
  <si>
    <t xml:space="preserve">Źródło: "EIB Project Carbon Footprint Methodologies" (wersja 11.1, lipiec 2020), Tables A1.7 Transport Emissions Factors - Road transport </t>
  </si>
  <si>
    <t xml:space="preserve">Pierwotne źródło danych wykazane w "EIB Project Carbon Footprint Methodologies": COPERT (narzędzie do obliczania emisji opracowane przez EEA) completed with STREAM (CE DELFT) </t>
  </si>
  <si>
    <t xml:space="preserve">(*) Uwzględnione są tylko emisje ze zużycia paliwa w pojeździe (tzw. "Tank-to-Wheel", TTW), bez emisji związanych z wytwarzaniem i przesyłem energii elektrycznej sieciowej zużywanej przez pojazd. </t>
  </si>
  <si>
    <t>(**) Łącznie emisje związane z wytwarzaniem i przesyłem energii elektrycznej sieciowej zużywanej przez pojazd oraz emisje związane ze zużyciem paliwa w pojeździe (tzw. "Tank-to-Wheel", TTW).</t>
  </si>
  <si>
    <r>
      <t>Emisyjność GHG (**) [g CO</t>
    </r>
    <r>
      <rPr>
        <vertAlign val="subscript"/>
        <sz val="11"/>
        <color theme="1"/>
        <rFont val="Calibri"/>
        <family val="2"/>
        <charset val="238"/>
        <scheme val="minor"/>
      </rPr>
      <t>2</t>
    </r>
    <r>
      <rPr>
        <sz val="11"/>
        <color theme="1"/>
        <rFont val="Calibri"/>
        <family val="2"/>
        <charset val="238"/>
        <scheme val="minor"/>
      </rPr>
      <t>(e)/ poj-km]</t>
    </r>
  </si>
  <si>
    <r>
      <t xml:space="preserve">Koszty jednostkowe zmian klimatu dla pojazdów drogowych </t>
    </r>
    <r>
      <rPr>
        <b/>
        <u/>
        <sz val="11"/>
        <color theme="1"/>
        <rFont val="Calibri"/>
        <family val="2"/>
        <charset val="238"/>
        <scheme val="minor"/>
      </rPr>
      <t>elektrycznych i hybrydowych</t>
    </r>
    <r>
      <rPr>
        <b/>
        <sz val="11"/>
        <color theme="1"/>
        <rFont val="Calibri"/>
        <family val="2"/>
        <charset val="238"/>
        <scheme val="minor"/>
      </rPr>
      <t xml:space="preserve"> – przykład kształtowania się kosztu w latach [PLN/poj-km] indeksacja w czasie (ceny realne od 2022 r.), wartości na koniec danego roku </t>
    </r>
  </si>
  <si>
    <r>
      <t xml:space="preserve">Koszty jednostkowe zmian klimatu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2022 r.), wartości na koniec danego roku </t>
    </r>
  </si>
  <si>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przykładowych tabelach w wierszu 115 i 236. W związku z tym w przypadku zmian w tamtych wierszach (np. zmiany przedziału prędkości, kategorii pojazdu elektrycznego w wierszu 236, zmiany z LV na HGV, terenu na falisty, nawierzchni na zdegradowaną), wartości przedstawione w poniższej tabeli przykładowej nie będą zgodne z opisami. </t>
    </r>
  </si>
  <si>
    <r>
      <t>Stawka jednostkowa, 
EUR 2016 /tCO</t>
    </r>
    <r>
      <rPr>
        <vertAlign val="subscript"/>
        <sz val="11"/>
        <color theme="1"/>
        <rFont val="Calibri"/>
        <family val="2"/>
        <charset val="238"/>
        <scheme val="minor"/>
      </rPr>
      <t>2</t>
    </r>
    <r>
      <rPr>
        <sz val="11"/>
        <color theme="1"/>
        <rFont val="Calibri"/>
        <family val="2"/>
        <charset val="238"/>
        <scheme val="minor"/>
      </rPr>
      <t>e</t>
    </r>
  </si>
  <si>
    <t>Roczna zmiana, EUR 2016</t>
  </si>
  <si>
    <t>Motocykle i Motorowery</t>
  </si>
  <si>
    <t xml:space="preserve">[1] Handbook on the External Costs of Transport, EC (January 2019), dołączony plik "FINAL_marginal_costs_air-poll_climate_WTT_noise.xlsx", zakładka "road_airpoll_fleet_all" </t>
  </si>
  <si>
    <t xml:space="preserve">[2] Opracowanie metodyki i oszacowanie kosztów zewnętrznych emisji zanieczyszczeń do powietrza atmosferycznego ze środków transportu drogowego na poziomie kraju, GUS, 2018 (data publikacji 26.02.2019), dołączony plik „Załącznik nr 2 Tablice wynikowe.xlsx”, zakładka "Tabl. 12." oraz dołączony plik "Załącznik nr 4c_autobusy_miejskie.xlsx", zakładka "Ilość_autobusów". </t>
  </si>
  <si>
    <t xml:space="preserve">[3] Wartości dla samochodów osobowych spalinowych ważone, tak jak na potrzeby kosztów eksploatacji i kosztów zmiany klimatu, udziałami wg danych GUS o liczbie pojazdów samochodowych zarejestrowanych w Polsce według wybranych rodzajów stosowanego paliwa na koniec 2019 roku (nie udziałami w liczbie pojazdów wykorzystanej przez GUS w źródle [2] w COPERT IV). Źródło: Transport - wyniki działalności w 2019 roku, GUS, wrzesień 2020, Tablica 20 (53), liczby w pozycji "Razem" według Tablica 12 (45) i Tablica 13 (46) </t>
  </si>
  <si>
    <t xml:space="preserve">Źródło: Handbook on the External Costs of Transport, EC (January 2019), dołączony plik "FINAL_Complete overview of country data.xlsx", zakładka "AP_output"; koszty średnie dla UE-28 zawiera też "Handbook...", Table 16 - Total and average air pollution costs for land-based modes for the EU28 </t>
  </si>
  <si>
    <t xml:space="preserve">Liczba, średni przebieg roczny oraz praca eksploatacyjna samochodów ciężarowych lekkich w Polsce w 2015 r. </t>
  </si>
  <si>
    <t xml:space="preserve">Źródło: „Opracowanie metodyki i oszacowanie kosztów zewnętrznych emisji zanieczyszczeń do powietrza atmosferycznego ze środków transportu drogowego na poziomie kraju”, GUS, 2018 (data publikacji: 26.02.2019), załącznik do źródłowego opracowania, plik „Załącznik nr 2 Tablice wynikowe.xlsx” </t>
  </si>
  <si>
    <t xml:space="preserve">Średni przebieg roczny i praca eksploatacyjna w tej tabeli zostały przeliczone przez CUPT na podstawie danych z opracowania źródłowego. </t>
  </si>
  <si>
    <t>Pojazdy drogowe elektryczne i hybrydowe-elektryczne</t>
  </si>
  <si>
    <t xml:space="preserve">Koszty jednostkowe zanieczyszczenia powietrza w transporcie drogowym – przykład kształtowania się kosztu w latach [PLN/poj-km] (ceny realne od 2022 r.), wartości na koniec danego roku </t>
  </si>
  <si>
    <t xml:space="preserve">Przyjęto uproszczenie, że udziały pojazdów spalinowych używających benzyny i oleju napędowego będą stałe w całym okresie projekcji. Według przeprowadzonych obliczeń, wpływ zmian prognozowanej struktury floty pojazdów spalinowych na emisyjność jest nieznaczny. </t>
  </si>
  <si>
    <t>LV spalinowy, teren płaski, drogi miejskie inne niż A i S, nawierzchnia nowa</t>
  </si>
  <si>
    <t>LV elektryczny, teren płaski, drogi miejskie inne niż A i S, nawierzchnia nowa</t>
  </si>
  <si>
    <t>HGV spalinowy, teren płaski, drogi miejskie inne niż A i S, nawierzchnia nowa</t>
  </si>
  <si>
    <t>Drogi szybkiego ruchu (A, S)</t>
  </si>
  <si>
    <t>Drogi miejskie inne niż A, S</t>
  </si>
  <si>
    <t>Drogi zamiejskie inne niż A, S</t>
  </si>
  <si>
    <r>
      <t xml:space="preserve">Koszty jednostkowe zanieczyszczenia powietrza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2022 r.), wartości na koniec danego roku </t>
    </r>
  </si>
  <si>
    <t xml:space="preserve">Wpływ nachylenia drogi na emisje zanieczyszczeń powietrza przez pojazdy drogowe przyjęto (jako uproszczenie) na takim samym poziomie, jak wpływ na zużycie paliwa. </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</si>
  <si>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wierszach 135, 136 i 137. W związku z tym w przypadku zmiany w tamtych wierszach (np. zmiany rodzaju drogi, terenu na falisty, nawierzchni na zdegradowaną), wartości przedstawione w poniższej tabeli przykładowej nie będą zgodne z opisami. </t>
    </r>
  </si>
  <si>
    <t>LV ogółem, teren płaski, drogi miejskie inne niż A i S, nawierzchnia nowa, wszystkie przedziały prędkości</t>
  </si>
  <si>
    <t>HGV ogółem, teren płaski, drogi miejskie inne niż A i S, nawierzchnia nowa, wszystkie przedziały prędkości</t>
  </si>
  <si>
    <r>
      <t xml:space="preserve">Poniższe stawki kosztów </t>
    </r>
    <r>
      <rPr>
        <u/>
        <sz val="11"/>
        <color theme="1"/>
        <rFont val="Calibri"/>
        <family val="2"/>
        <charset val="238"/>
        <scheme val="minor"/>
      </rPr>
      <t>mogą być stosowane tylko dla</t>
    </r>
    <r>
      <rPr>
        <sz val="11"/>
        <color theme="1"/>
        <rFont val="Calibri"/>
        <family val="2"/>
        <charset val="238"/>
        <scheme val="minor"/>
      </rPr>
      <t xml:space="preserve"> wyceny redukcji emisji niezwiązanej ze zmianą wolumenu transportu (zmniejszeniem liczby pojazdów, zmianą ich prędkości lub typu nawierzchni) na podstawie specyfikacji technicznej taboru. </t>
    </r>
  </si>
  <si>
    <t>Table 14 – Air pollution costs: average damage cost in €/kg emission, national averages for transport emissions in 2016 (excl. maritime) (All effects: health effects, crop loss, biodiversity loss, material damage)</t>
  </si>
  <si>
    <r>
      <t>(**) PM</t>
    </r>
    <r>
      <rPr>
        <vertAlign val="subscript"/>
        <sz val="11"/>
        <color theme="1"/>
        <rFont val="Calibri"/>
        <family val="2"/>
        <charset val="238"/>
        <scheme val="minor"/>
      </rPr>
      <t>10</t>
    </r>
    <r>
      <rPr>
        <sz val="11"/>
        <color theme="1"/>
        <rFont val="Calibri"/>
        <family val="2"/>
        <charset val="238"/>
        <scheme val="minor"/>
      </rPr>
      <t xml:space="preserve"> cost factors can be used for the non-exhaust emission of particles PM, e.g. from brake and tyre abrasion. </t>
    </r>
  </si>
  <si>
    <t xml:space="preserve">(*) Rural area: outside cities; metropolitan area: cities/agglomeration with more than 0.5 million inhabitants. </t>
  </si>
  <si>
    <r>
      <t>ECT Handbook 2019, pkt 4.3.2, str. 47: "</t>
    </r>
    <r>
      <rPr>
        <i/>
        <sz val="11"/>
        <color theme="1"/>
        <rFont val="Calibri"/>
        <family val="2"/>
        <charset val="238"/>
        <scheme val="minor"/>
      </rPr>
      <t>For all data, 2016 was taken as the reference year (transport data and emission factors), also for COPERT.</t>
    </r>
    <r>
      <rPr>
        <sz val="11"/>
        <color theme="1"/>
        <rFont val="Calibri"/>
        <family val="2"/>
        <charset val="238"/>
        <scheme val="minor"/>
      </rPr>
      <t xml:space="preserve">" </t>
    </r>
  </si>
  <si>
    <r>
      <t>ECT Handbook 2019, pkt 4.4, str. 51: "</t>
    </r>
    <r>
      <rPr>
        <i/>
        <sz val="11"/>
        <color theme="1"/>
        <rFont val="Calibri"/>
        <family val="2"/>
        <charset val="238"/>
        <scheme val="minor"/>
      </rPr>
      <t>For air pollution costs, the marginal costs are virtually the same as the average costs. This is mainly because the dose-response relationships between the immissions of air pollutants and health effects (or other damages) are nearly linear according to epidemiological studies.</t>
    </r>
    <r>
      <rPr>
        <sz val="11"/>
        <color theme="1"/>
        <rFont val="Calibri"/>
        <family val="2"/>
        <charset val="238"/>
        <scheme val="minor"/>
      </rPr>
      <t xml:space="preserve">" </t>
    </r>
  </si>
  <si>
    <t xml:space="preserve">Średnie koszty jednostkowe emisji zanieczyszczeń w transporcie lądowym, PLN na tonę substancji wyemitowanej, indeksacja w czasie (ceny realne od 2022 r.), wartości na koniec danego roku </t>
  </si>
  <si>
    <t>(*) Obszar metropolitalny: miasto lub aglomeracja o liczbie mieszkańców przekraczającej 0,5 miliona (definicja według Handbook on the External Costs of Transport, EC, January 2019)</t>
  </si>
  <si>
    <r>
      <t>PM</t>
    </r>
    <r>
      <rPr>
        <vertAlign val="subscript"/>
        <sz val="11"/>
        <color theme="1"/>
        <rFont val="Calibri"/>
        <family val="2"/>
        <charset val="238"/>
        <scheme val="minor"/>
      </rPr>
      <t>2.5</t>
    </r>
    <r>
      <rPr>
        <sz val="11"/>
        <color theme="1"/>
        <rFont val="Calibri"/>
        <family val="2"/>
        <charset val="238"/>
        <scheme val="minor"/>
      </rPr>
      <t xml:space="preserve"> dotyczy emisji pyłów w spalinach (PM exhaust). </t>
    </r>
  </si>
  <si>
    <r>
      <t>PM</t>
    </r>
    <r>
      <rPr>
        <vertAlign val="subscript"/>
        <sz val="11"/>
        <color theme="1"/>
        <rFont val="Calibri"/>
        <family val="2"/>
        <charset val="238"/>
        <scheme val="minor"/>
      </rPr>
      <t>10</t>
    </r>
    <r>
      <rPr>
        <sz val="11"/>
        <color theme="1"/>
        <rFont val="Calibri"/>
        <family val="2"/>
        <charset val="238"/>
        <scheme val="minor"/>
      </rPr>
      <t xml:space="preserve"> dotyczy emisji pyłów innych niż w spalinach (PM non-exhaust), np. ze ścierania hamulców i opon. </t>
    </r>
  </si>
  <si>
    <t>Średnie koszty zanieczyszczeń powietrza przez transport lądowy [2016 €/kg emisji]</t>
  </si>
  <si>
    <r>
      <t xml:space="preserve">Table 15 – Air pollution costs: average damage cost in €/kg emission, national averages for </t>
    </r>
    <r>
      <rPr>
        <u/>
        <sz val="11"/>
        <color theme="1"/>
        <rFont val="Calibri"/>
        <family val="2"/>
        <charset val="238"/>
        <scheme val="minor"/>
      </rPr>
      <t>maritime</t>
    </r>
    <r>
      <rPr>
        <sz val="11"/>
        <color theme="1"/>
        <rFont val="Calibri"/>
        <family val="2"/>
        <charset val="238"/>
        <scheme val="minor"/>
      </rPr>
      <t xml:space="preserve"> emissions in 2016 (all effects: health effects, crop loss, biodiversity loss, material damage) </t>
    </r>
  </si>
  <si>
    <t>Atlantic</t>
  </si>
  <si>
    <t>Baltic</t>
  </si>
  <si>
    <t>Black Sea</t>
  </si>
  <si>
    <t>Mediterranean</t>
  </si>
  <si>
    <t>North Sea</t>
  </si>
  <si>
    <t xml:space="preserve">Odpowiednie wartości jednostkowe (€/tona emisji), jednak bez NH3, oprócz wskazanej tabeli w opracowaniu źródłowym, zawiera też dołączony do opracowania źródłowego plik "FINAL_Complete overview of country data.xlsx", zakładka "AP_input". </t>
  </si>
  <si>
    <t>Krańcowe koszty jednostkowe zanieczyszczenia powietrza PLN/ poj-km, wartości realne dla roku 2016, do dalszej indeksacji</t>
  </si>
  <si>
    <r>
      <t xml:space="preserve">Emisje z wytwarzania energii i paliw </t>
    </r>
    <r>
      <rPr>
        <sz val="9"/>
        <color theme="1"/>
        <rFont val="Calibri"/>
        <family val="2"/>
        <charset val="238"/>
        <scheme val="minor"/>
      </rPr>
      <t>(emisje WTT)</t>
    </r>
  </si>
  <si>
    <t xml:space="preserve">(*) Wartości średnie dla 33 portów lotniczych UE. </t>
  </si>
  <si>
    <t xml:space="preserve">Źródło: Handbook on the External Costs of Transport, EC (January 2019), dołączony plik "FINAL_Complete overview of country data.xlsx". Oprócz transportu lotniczego, zamiast wartości dla UE-28 wyszukane zostały odpowiednie wartości dla Polski (o ile takie istniały). </t>
  </si>
  <si>
    <t xml:space="preserve">Źródło: porównanie spalania paliwa statków morskich i rzecznych, Vademecum Beneficjenta, CUPT 2016 </t>
  </si>
  <si>
    <r>
      <t>Zmiany kosztu jednostkowego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2016</t>
    </r>
  </si>
  <si>
    <t>Średnie koszty jednostkowe, wartości dla Polski na 1 stycznia 2022 r. (=koniec 2021 r.), PLN</t>
  </si>
  <si>
    <r>
      <t xml:space="preserve">Emisje z wytwarzania energii i paliw </t>
    </r>
    <r>
      <rPr>
        <sz val="9"/>
        <color theme="1"/>
        <rFont val="Calibri"/>
        <family val="2"/>
        <charset val="238"/>
        <scheme val="minor"/>
      </rPr>
      <t>(emisje WTT)</t>
    </r>
  </si>
  <si>
    <t>Udział emisji WTT w całości</t>
  </si>
  <si>
    <t xml:space="preserve">Powyższa tabela nie uwzględnia zmian struktury floty pojazdów drogowych pod względem rodzaju paliwa (napęd spalinowy, elektryczny). Jednostkowe stawki kosztów prawdopodobnie dotyczą tylko samochodów spalinowych. </t>
  </si>
  <si>
    <t xml:space="preserve">W powyższej tabeli w odniesieniu do wszystkich pozycji oprócz kosztów zmian klimatu zastosowana jest indeksacja skumulowanym wskaźnikiem uwzględniającym 0,8 wzrostu PKB per capita oraz inflację CPI dla Polski (od 2016) na początek roku bazowego analizy. </t>
  </si>
  <si>
    <t xml:space="preserve">W kolejnych latach po roku bazowym, w odniesieniu do wszystkich pozycji oprócz kosztów zmian klimatu, należy zastosować indeksację wskaźnikiem uwzględniającym 0,8 wzrostu PKB per capita (Elastyczność Y), bez inflacji, wskaźniki rok-do-roku: </t>
  </si>
  <si>
    <r>
      <t>W kolejnych latach po roku bazowym, w odniesieniu do kosztów zmiany klimatu należy uwzględnić korektę cenową CO</t>
    </r>
    <r>
      <rPr>
        <vertAlign val="subscript"/>
        <sz val="11"/>
        <color theme="1"/>
        <rFont val="Calibri"/>
        <family val="2"/>
        <charset val="238"/>
        <scheme val="minor"/>
      </rPr>
      <t>2</t>
    </r>
    <r>
      <rPr>
        <sz val="11"/>
        <color theme="1"/>
        <rFont val="Calibri"/>
        <family val="2"/>
        <charset val="238"/>
        <scheme val="minor"/>
      </rPr>
      <t xml:space="preserve"> (w powyższej tabeli jest ona uwzględniona na początek roku bazowego): </t>
    </r>
  </si>
  <si>
    <r>
      <t>Dodatkowo, w kolejnych latach po roku bazowym, w odniesieniu do kosztów zmian klimatu, dla elektrycznych pociągów pasażerskich i towarowych należy uwzględnić spadek wskaźnika emisji CO</t>
    </r>
    <r>
      <rPr>
        <vertAlign val="subscript"/>
        <sz val="11"/>
        <color theme="1"/>
        <rFont val="Calibri"/>
        <family val="2"/>
        <charset val="238"/>
        <scheme val="minor"/>
      </rPr>
      <t>2</t>
    </r>
    <r>
      <rPr>
        <sz val="11"/>
        <color theme="1"/>
        <rFont val="Calibri"/>
        <family val="2"/>
        <charset val="238"/>
        <scheme val="minor"/>
      </rPr>
      <t xml:space="preserve"> sieciowej energii elektrycznej (w powyższej tabeli jest on uwzględniony na początek roku bazowego): </t>
    </r>
  </si>
  <si>
    <t xml:space="preserve">Jednostkowe koszty zmian klimatu dla elektrycznych pociągów pasażerskich i towarowych są zerowe. </t>
  </si>
  <si>
    <t xml:space="preserve">Ekonomiczne koszty zewnętrzne związane z wytwarzaniem energii elektrycznej do napędzania pojazdów, w tym m.in. wpływ na zmiany klimatyczne i emisje zanieczyszczeń powietrza, jest ujęty w osobnej pozycji "Emisje z wytwarzania energii i paliw (emisje WTT)". </t>
  </si>
  <si>
    <t xml:space="preserve">Pozycja "Emisje z wytwarzania energii i paliw (emisje WTT)" zgodnie z nazwą obejmuje efekty zewnętrzne nie tylko z wytwarzania energii elektrycznej, ale również z wydobycia, przetwórstwa i dystrybucji paliw. </t>
  </si>
  <si>
    <t xml:space="preserve">Wybrane koszty jednostkowe w transporcie pasażerskim drogowym – przykład kształtowania się kosztu w latach [PLN/pas-km] indeksacja w czasie (ceny realne od 2022 r.), wartości na koniec danego roku </t>
  </si>
  <si>
    <t xml:space="preserve">Wybrane koszty jednostkowe w transporcie pasażerskim kolejowym – przykład kształtowania się kosztu w latach [PLN/pas-km] indeksacja w czasie (ceny realne od 2022 r.), wartości na koniec danego roku </t>
  </si>
  <si>
    <t xml:space="preserve">Jest to podejście inne niż na poprzednich zakładkach dotyczących poszczególnych efektów ekonomicznych. Nie można więc łączyć w jednej analizie ani stosować wymiennie stawek z tej zakładki i z pozostałych zakładek. </t>
  </si>
  <si>
    <t>Dyrektywa 91/542/EEC, nowy tekst Załącznika I pkt 6.2.1 wiersz B</t>
  </si>
  <si>
    <t>Dyrektywa 1999/96/WE, Załącznik I, pkt 6.2.1, wiersz A</t>
  </si>
  <si>
    <t>Dyrektywa 1999/96/WE, Załącznik I, pkt 6.2.1, wiersz B1</t>
  </si>
  <si>
    <t>Dyrektywa 1999/96/WE, Załącznik I, pkt 6.2.1, wiersz B2</t>
  </si>
  <si>
    <t>Rozporządzenie (WE) 595/2009, Załącznik I</t>
  </si>
  <si>
    <t>Council Directive 91/542/EEC of 1 October 1991 amending Directive 88/77/EEC on the approximation of the laws of the Member States relating to the measures to be taken against the emission of gaseous pollutants from diesel engines for use in vehicles, nowy tekst Załącznika I pkt 6.2.1 wiersz B</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</si>
  <si>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A</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</si>
  <si>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B1</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</si>
  <si>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B2</t>
  </si>
  <si>
    <t>Rozporządzenie Parlamentu Europejskiego i Rady (WE) Nr 595/2009 z dnia 18 czerwca 2009 r. dotyczące homologacji typu pojazdów silnikowych i silników w odniesieniu do emisji zanieczyszczeń pochodzących z pojazdów ciężarowych o dużej ładowności (Euro VI) oraz w sprawie dostępu do informacji dotyczących naprawy i obsługi technicznej pojazdów, zmieniające rozporządzenie (WE) nr 715/2007 i dyrektywę 2007/46/WE oraz uchylające dyrektywy 80/1269/EWG, 2005/55/WE i 2005/78/WE, Załącznik I</t>
  </si>
  <si>
    <t>Źródło (za wyjątkiem NMHC/NMVOC): 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t>
  </si>
  <si>
    <t>EMEP/EEA air pollutant emission inventory guidebook, 2019, Additional Files, Part B: sectoral guidance chapters, 1.A.3.b.i-iv Road transport 2019 (update October 2020), Table 3-12: Tier 1 CO2 emission factors for different road transport fossil fuels (page 22), all vehicle types</t>
  </si>
  <si>
    <t>EMEP/EEA air pollutant emission inventory guidebook, 2019, Additional Files, Part B: sectoral guidance chapters, 1.A.3.b.i-iv Road transport 2019 (update October 2020), Table 3-28: Default calorific and density values of primary fuels (page 42)</t>
  </si>
  <si>
    <t>EIB Project Carbon Footprint Methodologies. Methodologies for the Assessment of Project GHG Emissions and Emission Variations (wersja 11.1, lipiec 2020), Default Emission Factors, str. 26. Pierwotne źródło danych wykazane w "EIB Project Carbon Footprint Methodologies": API Compendium, 2009 - Compendium of Greenhouse Gas Emissions Methodologies for the oil and natural gas industry</t>
  </si>
  <si>
    <t>100 km</t>
  </si>
  <si>
    <t>kWh/100 km</t>
  </si>
  <si>
    <t>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t>
  </si>
  <si>
    <t xml:space="preserve">W kolejnych latach należy uwzględnić zmiany tego wskaźnika względem poziomu wyjściowego z roku 2019, ze względu na zmiany struktury paliwowej energetyki w Polsce: </t>
  </si>
  <si>
    <t>Zmiana wskaźnika względem 2019 r.</t>
  </si>
  <si>
    <t>Źródło: GUS, https://stat.gov.pl/wskazniki-makroekonomiczne/ - Roczne wskaźniki makroekonomiczne, arkusz "LUDNOŚĆ" (aktualizacja 21.03.2022)</t>
  </si>
  <si>
    <t>Pozycja</t>
  </si>
  <si>
    <t>Okres odniesienia</t>
  </si>
  <si>
    <t>lata</t>
  </si>
  <si>
    <t>Tytuł projektu</t>
  </si>
  <si>
    <t>Oferta autobusowa: trasa istniejąca</t>
  </si>
  <si>
    <t>wozokm</t>
  </si>
  <si>
    <t>w tym Typ 1</t>
  </si>
  <si>
    <t>w tym Typ 2</t>
  </si>
  <si>
    <t>w tym Typ 3</t>
  </si>
  <si>
    <t>Procent pracy eksploatacyjnej wykonywanej przez autobusy zakupione w projekcie</t>
  </si>
  <si>
    <t>Typ 1</t>
  </si>
  <si>
    <t>Typ 2</t>
  </si>
  <si>
    <t>Typ 3</t>
  </si>
  <si>
    <t>Oferta autobusowa: trasa nowa</t>
  </si>
  <si>
    <t xml:space="preserve">Praca eksploatacyjna w ciągu roku </t>
  </si>
  <si>
    <t>Średnie napełnienie samochodów osobowych</t>
  </si>
  <si>
    <t>Liczba pojazdów rocznie</t>
  </si>
  <si>
    <t>pojkm</t>
  </si>
  <si>
    <t>pas/rok</t>
  </si>
  <si>
    <t>pas/pojazd</t>
  </si>
  <si>
    <t>poj</t>
  </si>
  <si>
    <t>Wariant bezinwestycyjny</t>
  </si>
  <si>
    <t>Wariant inwestycyjny</t>
  </si>
  <si>
    <t>Praca eksploatacyjna autobusów podlegających wymianie: trasa istniejąca</t>
  </si>
  <si>
    <t>Samochody osobowe: trasa nowa</t>
  </si>
  <si>
    <t>Praca eksploatacyjna samochodów osobowych: trasa nowa</t>
  </si>
  <si>
    <t>Praca eksploatacyjna autobusów zakupywanych: trasa istniejąca</t>
  </si>
  <si>
    <t>Praca eksploatacyjna autobusów zakupywanych: trasa nowa</t>
  </si>
  <si>
    <t>Stopa dyskontowa</t>
  </si>
  <si>
    <t>Współczynnik dyskonta</t>
  </si>
  <si>
    <t>Typ A CNG</t>
  </si>
  <si>
    <t>Typ B CNG</t>
  </si>
  <si>
    <t>Typ C CNG</t>
  </si>
  <si>
    <t>w tym Typ A CNG</t>
  </si>
  <si>
    <t>w tym Typ B CNG</t>
  </si>
  <si>
    <t>w tym Typ C CNG</t>
  </si>
  <si>
    <t>Typ A elektr</t>
  </si>
  <si>
    <t>Typ B elektr</t>
  </si>
  <si>
    <t>Typ C elektr</t>
  </si>
  <si>
    <t>w tym Typ A elektr</t>
  </si>
  <si>
    <t>w tym Typ B elektr</t>
  </si>
  <si>
    <t>w tym Typ C elektr</t>
  </si>
  <si>
    <t>Autobusy podlegajace wymianie: trasa istniejąca</t>
  </si>
  <si>
    <r>
      <t xml:space="preserve">kg/km </t>
    </r>
    <r>
      <rPr>
        <i/>
        <sz val="11"/>
        <color theme="1"/>
        <rFont val="Symbol"/>
        <family val="1"/>
        <charset val="2"/>
      </rPr>
      <t>®</t>
    </r>
    <r>
      <rPr>
        <i/>
        <sz val="11"/>
        <color theme="1"/>
        <rFont val="Calibri"/>
        <family val="2"/>
        <charset val="238"/>
      </rPr>
      <t xml:space="preserve"> t/km</t>
    </r>
  </si>
  <si>
    <t>Emisje niskie</t>
  </si>
  <si>
    <r>
      <t xml:space="preserve">g/km </t>
    </r>
    <r>
      <rPr>
        <i/>
        <sz val="11"/>
        <color theme="1"/>
        <rFont val="Symbol"/>
        <family val="1"/>
        <charset val="2"/>
      </rPr>
      <t>®</t>
    </r>
    <r>
      <rPr>
        <i/>
        <sz val="11"/>
        <color theme="1"/>
        <rFont val="Calibri"/>
        <family val="2"/>
        <charset val="238"/>
      </rPr>
      <t xml:space="preserve"> t/km</t>
    </r>
  </si>
  <si>
    <t>t/km</t>
  </si>
  <si>
    <t>Koszty jednostkowe NMHC/NMVOC</t>
  </si>
  <si>
    <t>Koszty jednostkowe PM</t>
  </si>
  <si>
    <t>PLN/t</t>
  </si>
  <si>
    <t>kg/km</t>
  </si>
  <si>
    <r>
      <t>NO</t>
    </r>
    <r>
      <rPr>
        <b/>
        <sz val="8"/>
        <color theme="1"/>
        <rFont val="Calibri"/>
        <family val="2"/>
        <charset val="238"/>
        <scheme val="minor"/>
      </rPr>
      <t>X</t>
    </r>
  </si>
  <si>
    <t>PLN</t>
  </si>
  <si>
    <t>t</t>
  </si>
  <si>
    <t>Koszty emisji niskich</t>
  </si>
  <si>
    <t>Autobusy zakupywane: trasa istniejąca</t>
  </si>
  <si>
    <t>Wskaźnik redukcji emisji</t>
  </si>
  <si>
    <t>Koszty zdyskontowane</t>
  </si>
  <si>
    <t>Autobusy zakupywane: trasa nowa</t>
  </si>
  <si>
    <t>Źródło: Kalkulator emisji z transportu drogowego do 2040 KOBiZE; rok 2025, przedział prędkości 60-70 km/h</t>
  </si>
  <si>
    <t>Liczba przewiezionych pasażerów rocznie</t>
  </si>
  <si>
    <t>Autobus - LPG/LNG</t>
  </si>
  <si>
    <t>Wartość energetyczna LPG</t>
  </si>
  <si>
    <t>kg CO2/ kg paliwa</t>
  </si>
  <si>
    <t>kg CO2/ litr paliwa</t>
  </si>
  <si>
    <t>Autobus - Diesel Typ 1</t>
  </si>
  <si>
    <t>Autobus - Diesel Typ 2</t>
  </si>
  <si>
    <t xml:space="preserve">Typy autobusów Diesel podlegających wymianie </t>
  </si>
  <si>
    <t>Typy autobusów CNG zakupywanych</t>
  </si>
  <si>
    <t>Typy autobusów LPG/LNG zakupywanych</t>
  </si>
  <si>
    <t>Typy autobusów elektrycznych zakupywanych</t>
  </si>
  <si>
    <t>czy występuje</t>
  </si>
  <si>
    <t>TAK</t>
  </si>
  <si>
    <t>Typ A LPG/LNG</t>
  </si>
  <si>
    <t>Typ B LPG/LNG</t>
  </si>
  <si>
    <t>Typ C LPG/LNG</t>
  </si>
  <si>
    <t>NIE</t>
  </si>
  <si>
    <t>w tym Typ A LPG/LNG</t>
  </si>
  <si>
    <t>w tym Typ B LPG/LNG</t>
  </si>
  <si>
    <t>w tym Typ C LPG/LNG</t>
  </si>
  <si>
    <t>Typy autobusów Diesel EURO VI zakupywanych</t>
  </si>
  <si>
    <t>Typy autobusów hybrydowych zakupywanych</t>
  </si>
  <si>
    <t>Typ A hybryda</t>
  </si>
  <si>
    <t>Typ B hybryda</t>
  </si>
  <si>
    <t>Typ C hybryda</t>
  </si>
  <si>
    <t>Typ B DieVI</t>
  </si>
  <si>
    <t>Typ A DieVI</t>
  </si>
  <si>
    <t>Typ C DieVI</t>
  </si>
  <si>
    <t>w tym Typ A DieVI</t>
  </si>
  <si>
    <t>w tym Typ B DieVI</t>
  </si>
  <si>
    <t>w tym Typ C DieVI</t>
  </si>
  <si>
    <t>w tym Typ A hybryda</t>
  </si>
  <si>
    <t>w tym Typ B hybryda</t>
  </si>
  <si>
    <t>w tym Typ C hybryda</t>
  </si>
  <si>
    <t>Autobus - Diesel Typ 3</t>
  </si>
  <si>
    <t>Autobus - Diesel EURO VI Typ A</t>
  </si>
  <si>
    <t>Autobus - Diesel EURO VI Typ B</t>
  </si>
  <si>
    <t>Autobus - Diesel EURO VI Typ C</t>
  </si>
  <si>
    <t>Autobus - CNG Typ A</t>
  </si>
  <si>
    <t>Autobus - CNG Typ B</t>
  </si>
  <si>
    <r>
      <t>Powyższa wartość wskaźnika emisyjności CO</t>
    </r>
    <r>
      <rPr>
        <vertAlign val="subscript"/>
        <sz val="11"/>
        <color theme="1"/>
        <rFont val="Calibri"/>
        <family val="2"/>
        <charset val="238"/>
        <scheme val="minor"/>
      </rPr>
      <t>2</t>
    </r>
    <r>
      <rPr>
        <sz val="11"/>
        <color theme="1"/>
        <rFont val="Calibri"/>
        <family val="2"/>
        <charset val="238"/>
        <scheme val="minor"/>
      </rPr>
      <t xml:space="preserve"> dotyczy roku 2022. </t>
    </r>
  </si>
  <si>
    <t>Autobus - CNG Typ C</t>
  </si>
  <si>
    <t>Autobus - LPG/LNG Typ A</t>
  </si>
  <si>
    <t>Autobus - LPG/LNG Typ C</t>
  </si>
  <si>
    <t>Autobus - LPG/LNG Typ B</t>
  </si>
  <si>
    <t>Autobus - elektryczny Typ A</t>
  </si>
  <si>
    <t>Autobus - elektryczny Typ B</t>
  </si>
  <si>
    <t>Autobus - elektryczny Typ C</t>
  </si>
  <si>
    <t>Autobus - hybrydowy Typ A</t>
  </si>
  <si>
    <t>Łącznie</t>
  </si>
  <si>
    <t>nie dotyczy</t>
  </si>
  <si>
    <t>Autobus - hybrydowy Typ B</t>
  </si>
  <si>
    <t>Autobus - hybrydowy Typ C</t>
  </si>
  <si>
    <t>Instrukcja:</t>
  </si>
  <si>
    <t xml:space="preserve">Wskaźnik redukcji emisji jest wyliczany wspólnie dla trasy istniejącej oraz trasy nowej, widnieje na zakładce "Wskaźnik redukcji emisji". </t>
  </si>
  <si>
    <r>
      <t>’NPV emisji w niskich warstwach atmosfery oraz CO</t>
    </r>
    <r>
      <rPr>
        <vertAlign val="subscript"/>
        <sz val="10"/>
        <color theme="1"/>
        <rFont val="Calibri"/>
        <family val="2"/>
        <charset val="238"/>
        <scheme val="minor"/>
      </rPr>
      <t>2</t>
    </r>
    <r>
      <rPr>
        <sz val="10"/>
        <color theme="1"/>
        <rFont val="Calibri"/>
        <family val="2"/>
        <charset val="238"/>
        <scheme val="minor"/>
      </rPr>
      <t xml:space="preserve"> w W0’ / 
‘NPV emisji w niskich warstwach atmosfery oraz CO</t>
    </r>
    <r>
      <rPr>
        <vertAlign val="subscript"/>
        <sz val="10"/>
        <color theme="1"/>
        <rFont val="Calibri"/>
        <family val="2"/>
        <charset val="238"/>
        <scheme val="minor"/>
      </rPr>
      <t>2</t>
    </r>
    <r>
      <rPr>
        <sz val="10"/>
        <color theme="1"/>
        <rFont val="Calibri"/>
        <family val="2"/>
        <charset val="238"/>
        <scheme val="minor"/>
      </rPr>
      <t xml:space="preserve"> w WI’</t>
    </r>
  </si>
  <si>
    <r>
      <t>Emisje CO</t>
    </r>
    <r>
      <rPr>
        <b/>
        <vertAlign val="subscript"/>
        <sz val="16"/>
        <rFont val="Calibri"/>
        <family val="2"/>
        <charset val="238"/>
        <scheme val="minor"/>
      </rPr>
      <t>2</t>
    </r>
    <r>
      <rPr>
        <b/>
        <sz val="16"/>
        <rFont val="Calibri"/>
        <family val="2"/>
        <charset val="238"/>
        <scheme val="minor"/>
      </rPr>
      <t xml:space="preserve"> i zanieczyszczeń powietrza przez autobusy komunikacji miejskiej </t>
    </r>
    <r>
      <rPr>
        <b/>
        <sz val="16"/>
        <rFont val="Calibri"/>
        <family val="2"/>
        <charset val="238"/>
      </rPr>
      <t>– W0 trasa istniejąca</t>
    </r>
  </si>
  <si>
    <r>
      <t>Emisje CO</t>
    </r>
    <r>
      <rPr>
        <b/>
        <vertAlign val="subscript"/>
        <sz val="16"/>
        <rFont val="Calibri"/>
        <family val="2"/>
        <charset val="238"/>
        <scheme val="minor"/>
      </rPr>
      <t>2</t>
    </r>
    <r>
      <rPr>
        <b/>
        <sz val="16"/>
        <rFont val="Calibri"/>
        <family val="2"/>
        <charset val="238"/>
        <scheme val="minor"/>
      </rPr>
      <t xml:space="preserve"> i zanieczyszczeń powietrza przez autobusy komunikacji miejskiej – WI trasa istniejąca</t>
    </r>
  </si>
  <si>
    <r>
      <t>Emisje CO</t>
    </r>
    <r>
      <rPr>
        <b/>
        <vertAlign val="subscript"/>
        <sz val="16"/>
        <rFont val="Calibri"/>
        <family val="2"/>
        <charset val="238"/>
        <scheme val="minor"/>
      </rPr>
      <t>2</t>
    </r>
    <r>
      <rPr>
        <b/>
        <sz val="16"/>
        <rFont val="Calibri"/>
        <family val="2"/>
        <charset val="238"/>
        <scheme val="minor"/>
      </rPr>
      <t xml:space="preserve"> i zanieczyszczeń powietrza przez autobusy komunikacji miejskiej – WI trasa nowa</t>
    </r>
  </si>
  <si>
    <r>
      <t xml:space="preserve">Zakładki zaznaczone na żółto zawierają </t>
    </r>
    <r>
      <rPr>
        <b/>
        <sz val="12"/>
        <color theme="1"/>
        <rFont val="Calibri"/>
        <family val="2"/>
        <charset val="238"/>
        <scheme val="minor"/>
      </rPr>
      <t>żółte pola</t>
    </r>
    <r>
      <rPr>
        <sz val="12"/>
        <color theme="1"/>
        <rFont val="Calibri"/>
        <family val="2"/>
        <charset val="238"/>
        <scheme val="minor"/>
      </rPr>
      <t xml:space="preserve">, w których należy </t>
    </r>
    <r>
      <rPr>
        <b/>
        <sz val="12"/>
        <color theme="1"/>
        <rFont val="Calibri"/>
        <family val="2"/>
        <charset val="238"/>
        <scheme val="minor"/>
      </rPr>
      <t>wprowadzić odpowiednie założenia przyjęte w projekcie</t>
    </r>
    <r>
      <rPr>
        <sz val="12"/>
        <color theme="1"/>
        <rFont val="Calibri"/>
        <family val="2"/>
        <charset val="238"/>
        <scheme val="minor"/>
      </rPr>
      <t xml:space="preserve">. </t>
    </r>
  </si>
  <si>
    <t xml:space="preserve">Hiperłącza dla poszczególnych typów pojazdów przenoszą do odpowiedniego miejsca na zakładkach "Emisje W0 trasa istniejąca" oraz "Emisje WI trasa istniejąca". </t>
  </si>
  <si>
    <t xml:space="preserve">Należy tam wskazać kategorię EURO i parametry spalania lub zużycia energii dla typów pojazdów, które występują w projekcie ("TAK"). </t>
  </si>
  <si>
    <r>
      <rPr>
        <b/>
        <sz val="12"/>
        <color theme="1"/>
        <rFont val="Calibri"/>
        <family val="2"/>
        <charset val="238"/>
        <scheme val="minor"/>
      </rPr>
      <t>Trasa nowa</t>
    </r>
    <r>
      <rPr>
        <sz val="12"/>
        <color theme="1"/>
        <rFont val="Calibri"/>
        <family val="2"/>
        <charset val="238"/>
        <scheme val="minor"/>
      </rPr>
      <t xml:space="preserve"> to trasa, po której w wariancie bezinwestycyjnym poruszają się samochody osobowe, a w wariancie inwestycyjnym pasażerowie tych samochodów przesiadają się do pojazdów nowych (zakupywane: Diesel EURO VI, CNG, LPG/LNG, elektryczne, hybrydowe Diesel/elektryczne). </t>
    </r>
  </si>
  <si>
    <t xml:space="preserve">Dla autobusów konieczne jest również wskazanie rocznej pracy eksploatacyjnej (wozokm), podziału pracy eksploatacyjnej na poszczególne typy oraz rocznej liczby pasażerów. Natomiast do wyliczenia pracy eksploatacyjnej samochodów konieczne jest podanie długości trasy oraz średniego napełnienia. </t>
  </si>
  <si>
    <t xml:space="preserve">Hiperłącza dla poszczególnych typów pojazdów przenoszą do odpowiedniego miejsca na zakładce "Emisje WI trasa nowa". </t>
  </si>
  <si>
    <t xml:space="preserve">Założenia te pozwolą wyliczyć emisje (t/km), które następnie arkusz przeliczy przez koszty jednostkowe (PLN/t) oraz wozokilometry, uzyskując koszty emisji (PLN). </t>
  </si>
  <si>
    <t xml:space="preserve">Jeżeli arkusz nie odpowiada specyfice projektu, należy nanieść odpowiednie zmiany w konstrukcji arkusza (w tym w formułach). </t>
  </si>
  <si>
    <r>
      <rPr>
        <b/>
        <sz val="12"/>
        <color theme="1"/>
        <rFont val="Calibri"/>
        <family val="2"/>
        <charset val="238"/>
        <scheme val="minor"/>
      </rPr>
      <t>Za wprowadzone zmiany w arkuszu oraz przyjęte założenia odpowiada Wnioskodawca.</t>
    </r>
    <r>
      <rPr>
        <sz val="12"/>
        <color theme="1"/>
        <rFont val="Calibri"/>
        <family val="2"/>
        <charset val="238"/>
        <scheme val="minor"/>
      </rPr>
      <t xml:space="preserve"> Będą one podlegały weryfikacji w procesie oceny wniosków. </t>
    </r>
  </si>
  <si>
    <t xml:space="preserve">Wszystkie wartości pieniężne są w ujęciu netto (bez VAT), chyba że wprost oznaczono inaczej. </t>
  </si>
  <si>
    <t xml:space="preserve">Instytucja Organizująca Konkurs zastrzega sobie prawo do modyfikacji szablonu. W takim przypadku wraz z kolejną wersją szablonu na stronie internetowej CUPT zostanie umieszczona informacja o charakterze dokonanych zmian. </t>
  </si>
  <si>
    <t xml:space="preserve">Konieczne jest również wskazanie rocznej pracy eksploatacyjnej (wozokm) oraz podziału pracy eksploatacyjnej na poszczególne typy pojazdów. </t>
  </si>
  <si>
    <r>
      <t>Kalkulator wskaźnika redukcji emisji na</t>
    </r>
    <r>
      <rPr>
        <b/>
        <sz val="20"/>
        <color theme="1"/>
        <rFont val="Calibri"/>
        <family val="2"/>
        <charset val="238"/>
      </rPr>
      <t> </t>
    </r>
    <r>
      <rPr>
        <b/>
        <sz val="20"/>
        <color theme="1"/>
        <rFont val="Calibri"/>
        <family val="2"/>
        <charset val="238"/>
        <scheme val="minor"/>
      </rPr>
      <t xml:space="preserve">potrzeby kryterium: </t>
    </r>
  </si>
  <si>
    <r>
      <t>Zmniejszenie emisji w niższych warstwach atmosfery oraz CO</t>
    </r>
    <r>
      <rPr>
        <b/>
        <vertAlign val="subscript"/>
        <sz val="20"/>
        <color theme="1"/>
        <rFont val="Calibri"/>
        <family val="2"/>
        <charset val="238"/>
        <scheme val="minor"/>
      </rPr>
      <t>2</t>
    </r>
    <r>
      <rPr>
        <b/>
        <sz val="20"/>
        <color theme="1"/>
        <rFont val="Calibri"/>
        <family val="2"/>
        <charset val="238"/>
        <scheme val="minor"/>
      </rPr>
      <t xml:space="preserve"> w wyniku realizacji projektu </t>
    </r>
  </si>
  <si>
    <t xml:space="preserve">Wartości podane w szablonie w polach zaznaczonych na żółto są w pełni abstrakcyjne, wstawione jedynie aby arkusz ulegał przeliczeniu i prezentował sposób kalkulacji. Wszystkie pola zaznaczone na żółto należy zastąpić założeniami właściwymi dla danego projektu. </t>
  </si>
  <si>
    <r>
      <t xml:space="preserve">Praca eksploatacyjna na trasie </t>
    </r>
    <r>
      <rPr>
        <u/>
        <sz val="11"/>
        <color theme="1"/>
        <rFont val="Calibri"/>
        <family val="2"/>
        <charset val="238"/>
        <scheme val="minor"/>
      </rPr>
      <t>istniejącej</t>
    </r>
    <r>
      <rPr>
        <sz val="11"/>
        <color theme="1"/>
        <rFont val="Calibri"/>
        <family val="2"/>
        <charset val="238"/>
        <scheme val="minor"/>
      </rPr>
      <t xml:space="preserve"> w</t>
    </r>
    <r>
      <rPr>
        <sz val="11"/>
        <color theme="1"/>
        <rFont val="Calibri"/>
        <family val="2"/>
        <charset val="238"/>
      </rPr>
      <t> </t>
    </r>
    <r>
      <rPr>
        <sz val="11"/>
        <color theme="1"/>
        <rFont val="Calibri"/>
        <family val="2"/>
        <charset val="238"/>
        <scheme val="minor"/>
      </rPr>
      <t>ciągu roku</t>
    </r>
  </si>
  <si>
    <r>
      <t xml:space="preserve">Liczba autobusów obsługujących trasę </t>
    </r>
    <r>
      <rPr>
        <u/>
        <sz val="11"/>
        <color theme="1"/>
        <rFont val="Calibri"/>
        <family val="2"/>
        <charset val="238"/>
        <scheme val="minor"/>
      </rPr>
      <t>istniejącą</t>
    </r>
  </si>
  <si>
    <r>
      <t xml:space="preserve">Procent pracy eksploatacyjnej wykonywanej na trasie </t>
    </r>
    <r>
      <rPr>
        <u/>
        <sz val="11"/>
        <color theme="1"/>
        <rFont val="Calibri"/>
        <family val="2"/>
        <charset val="238"/>
        <scheme val="minor"/>
      </rPr>
      <t>istniejącej</t>
    </r>
    <r>
      <rPr>
        <sz val="11"/>
        <color theme="1"/>
        <rFont val="Calibri"/>
        <family val="2"/>
        <charset val="238"/>
        <scheme val="minor"/>
      </rPr>
      <t xml:space="preserve"> przez autobusy podlegające wymianie w</t>
    </r>
    <r>
      <rPr>
        <sz val="11"/>
        <color theme="1"/>
        <rFont val="Calibri"/>
        <family val="2"/>
        <charset val="238"/>
      </rPr>
      <t> </t>
    </r>
    <r>
      <rPr>
        <sz val="11"/>
        <color theme="1"/>
        <rFont val="Calibri"/>
        <family val="2"/>
        <charset val="238"/>
        <scheme val="minor"/>
      </rPr>
      <t>ramach projektu</t>
    </r>
  </si>
  <si>
    <r>
      <t xml:space="preserve">Praca eksploatacyjna na trasie </t>
    </r>
    <r>
      <rPr>
        <u/>
        <sz val="11"/>
        <color theme="1"/>
        <rFont val="Calibri"/>
        <family val="2"/>
        <charset val="238"/>
        <scheme val="minor"/>
      </rPr>
      <t>nowej</t>
    </r>
    <r>
      <rPr>
        <sz val="11"/>
        <color theme="1"/>
        <rFont val="Calibri"/>
        <family val="2"/>
        <charset val="238"/>
        <scheme val="minor"/>
      </rPr>
      <t xml:space="preserve"> w</t>
    </r>
    <r>
      <rPr>
        <sz val="11"/>
        <color theme="1"/>
        <rFont val="Calibri"/>
        <family val="2"/>
        <charset val="238"/>
      </rPr>
      <t> </t>
    </r>
    <r>
      <rPr>
        <sz val="11"/>
        <color theme="1"/>
        <rFont val="Calibri"/>
        <family val="2"/>
        <charset val="238"/>
        <scheme val="minor"/>
      </rPr>
      <t>ciągu roku</t>
    </r>
  </si>
  <si>
    <r>
      <t xml:space="preserve">Liczba autobusów obsługujących trasę </t>
    </r>
    <r>
      <rPr>
        <u/>
        <sz val="11"/>
        <color theme="1"/>
        <rFont val="Calibri"/>
        <family val="2"/>
        <charset val="238"/>
        <scheme val="minor"/>
      </rPr>
      <t>nową</t>
    </r>
  </si>
  <si>
    <r>
      <t xml:space="preserve">Procent pracy eksploatacyjnej wykonywanej na trasie </t>
    </r>
    <r>
      <rPr>
        <u/>
        <sz val="11"/>
        <color theme="1"/>
        <rFont val="Calibri"/>
        <family val="2"/>
        <charset val="238"/>
        <scheme val="minor"/>
      </rPr>
      <t>nowej</t>
    </r>
    <r>
      <rPr>
        <sz val="11"/>
        <color theme="1"/>
        <rFont val="Calibri"/>
        <family val="2"/>
        <charset val="238"/>
        <scheme val="minor"/>
      </rPr>
      <t xml:space="preserve"> przez autobusy zakupione w</t>
    </r>
    <r>
      <rPr>
        <sz val="11"/>
        <color theme="1"/>
        <rFont val="Calibri"/>
        <family val="2"/>
        <charset val="238"/>
      </rPr>
      <t> </t>
    </r>
    <r>
      <rPr>
        <sz val="11"/>
        <color theme="1"/>
        <rFont val="Calibri"/>
        <family val="2"/>
        <charset val="238"/>
        <scheme val="minor"/>
      </rPr>
      <t>projekcie</t>
    </r>
  </si>
  <si>
    <t>OK</t>
  </si>
  <si>
    <t>BŁĄD</t>
  </si>
  <si>
    <t xml:space="preserve">Wyjaśnienie w sprawie przeliczenia wyjściowych wartości kosztów jednostkowych z zastosowaniem kursu walutowego PLN/EUR oraz PKB Polski per capita w jednostkach siły nabywczej (PPS): </t>
  </si>
  <si>
    <t>Zużycie energii el. przez dany autobus na 100 km</t>
  </si>
  <si>
    <r>
      <t>NO</t>
    </r>
    <r>
      <rPr>
        <b/>
        <vertAlign val="subscript"/>
        <sz val="11"/>
        <color theme="1"/>
        <rFont val="Calibri"/>
        <family val="2"/>
        <charset val="238"/>
        <scheme val="minor"/>
      </rPr>
      <t>X</t>
    </r>
  </si>
  <si>
    <r>
      <t>Koszty jednostkowe CO</t>
    </r>
    <r>
      <rPr>
        <vertAlign val="subscript"/>
        <sz val="11"/>
        <color theme="1"/>
        <rFont val="Calibri"/>
        <family val="2"/>
        <charset val="238"/>
        <scheme val="minor"/>
      </rPr>
      <t>2</t>
    </r>
  </si>
  <si>
    <r>
      <t>Koszty jednostkowe NO</t>
    </r>
    <r>
      <rPr>
        <vertAlign val="subscript"/>
        <sz val="11"/>
        <color theme="1"/>
        <rFont val="Calibri"/>
        <family val="2"/>
        <charset val="238"/>
        <scheme val="minor"/>
      </rPr>
      <t>X</t>
    </r>
  </si>
  <si>
    <r>
      <t>Emisje CO</t>
    </r>
    <r>
      <rPr>
        <vertAlign val="subscript"/>
        <sz val="11"/>
        <color theme="1"/>
        <rFont val="Calibri"/>
        <family val="2"/>
        <charset val="238"/>
        <scheme val="minor"/>
      </rPr>
      <t>2</t>
    </r>
  </si>
  <si>
    <r>
      <t>Koszty CO</t>
    </r>
    <r>
      <rPr>
        <b/>
        <vertAlign val="subscript"/>
        <sz val="11"/>
        <color theme="1"/>
        <rFont val="Calibri"/>
        <family val="2"/>
        <charset val="238"/>
        <scheme val="minor"/>
      </rPr>
      <t>2</t>
    </r>
  </si>
  <si>
    <r>
      <t>Koszty jednostkowe SO</t>
    </r>
    <r>
      <rPr>
        <vertAlign val="subscript"/>
        <sz val="11"/>
        <color theme="1"/>
        <rFont val="Calibri"/>
        <family val="2"/>
        <charset val="238"/>
        <scheme val="minor"/>
      </rPr>
      <t>2</t>
    </r>
  </si>
  <si>
    <r>
      <t>Koszty jednostkowe NO</t>
    </r>
    <r>
      <rPr>
        <vertAlign val="subscript"/>
        <sz val="11"/>
        <color theme="1"/>
        <rFont val="Calibri"/>
        <family val="2"/>
        <charset val="238"/>
        <scheme val="minor"/>
      </rPr>
      <t>x</t>
    </r>
  </si>
  <si>
    <t>RAZEM:</t>
  </si>
  <si>
    <r>
      <t>Zmiany kosztu jednostkowego emisji CO</t>
    </r>
    <r>
      <rPr>
        <vertAlign val="subscript"/>
        <sz val="11"/>
        <color theme="1"/>
        <rFont val="Calibri"/>
        <family val="2"/>
        <charset val="238"/>
        <scheme val="minor"/>
      </rPr>
      <t>2</t>
    </r>
  </si>
  <si>
    <r>
      <t>Zmiany kosztu jednostkowego emisji CO</t>
    </r>
    <r>
      <rPr>
        <vertAlign val="subscript"/>
        <sz val="11"/>
        <rFont val="Calibri"/>
        <family val="2"/>
        <charset val="238"/>
        <scheme val="minor"/>
      </rPr>
      <t>2</t>
    </r>
    <r>
      <rPr>
        <sz val="11"/>
        <rFont val="Calibri"/>
        <family val="2"/>
        <charset val="238"/>
        <scheme val="minor"/>
      </rPr>
      <t xml:space="preserve"> względem poziomu wyjściowego z roku 2016</t>
    </r>
  </si>
  <si>
    <r>
      <t>W powyższej tabeli w odniesieniu do kosztów zmian klimatu uwzględniona jest indeksacja skumulowanym wskaźnikiem zmiany kosztu jednostkowego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2016 (obejmującym również skumulowaną inflację CPI dla Polski), bez wzrostu PKB per capita, na początek roku bazowego analizy. </t>
    </r>
  </si>
  <si>
    <t>Źródło: GUS, https://stat.gov.pl/wskazniki-makroekonomiczne/ - Roczne wskaźniki makroekonomiczne, arkusz "WSKAŹNIKI CEN" (aktualizacja 20.04.2022)</t>
  </si>
  <si>
    <r>
      <rPr>
        <b/>
        <sz val="12"/>
        <color theme="1"/>
        <rFont val="Calibri"/>
        <family val="2"/>
        <charset val="238"/>
        <scheme val="minor"/>
      </rPr>
      <t xml:space="preserve">Trasa istniejąca </t>
    </r>
    <r>
      <rPr>
        <sz val="12"/>
        <color theme="1"/>
        <rFont val="Calibri"/>
        <family val="2"/>
        <charset val="238"/>
        <scheme val="minor"/>
      </rPr>
      <t xml:space="preserve">to trasa, po której w wariancie bezinwestycyjnym poruszają się pojazdy dotychczasowe (podlegające wymianie: Diesel), a w wariancie inwestycyjnym </t>
    </r>
    <r>
      <rPr>
        <sz val="12"/>
        <color theme="1"/>
        <rFont val="Calibri"/>
        <family val="2"/>
        <charset val="238"/>
      </rPr>
      <t xml:space="preserve">– </t>
    </r>
    <r>
      <rPr>
        <sz val="12"/>
        <color theme="1"/>
        <rFont val="Calibri"/>
        <family val="2"/>
        <charset val="238"/>
        <scheme val="minor"/>
      </rPr>
      <t xml:space="preserve">pojazdy nowe (zakupywane: Diesel EURO VI, CNG, LPG/LNG, elektryczne, hybrydowe Diesel/elektryczne). </t>
    </r>
  </si>
  <si>
    <t>Zakup niskoemisyjnych oraz zeroemisyjnych autobusów w liczbie 14 sztuk</t>
  </si>
  <si>
    <t>Pierwszy rok analizy</t>
  </si>
  <si>
    <t>Ostatni rok analizy</t>
  </si>
  <si>
    <t>Rok analizy</t>
  </si>
  <si>
    <t>j</t>
  </si>
  <si>
    <t>Średnia długosć podróży</t>
  </si>
  <si>
    <t xml:space="preserve">Konkurs na zakup autobusów zeroemisyjnych oraz niskoemisyjnych w ramach Krajowego Planu Odbudowy </t>
  </si>
  <si>
    <t xml:space="preserve">Na zakładce "Założenia" w wierszach 15, 18, 20, 22, 24, 26 należy wskazać, czy dany typ pojazdu występuje ("TAK"/"NIE"). Dla każdego rodzaju napędu możliwe jest wskazanie maksymalnie trzech typów pojazdów (różne kategorie EURO, różne parametry spalania lub zużycia energii). </t>
  </si>
  <si>
    <t xml:space="preserve">Na zakładce "Założenia" w wierszach 53, 55, 57, 59, 61 należy wskazać, czy dany typ pojazdu występuje ("TAK"/"NIE"). Dla każdego rodzaju napędu możliwe jest wskazanie maksymalnie trzech typów pojazdów (różne kategorie EURO, różne parametry spalania lub zużycia energii). </t>
  </si>
  <si>
    <t>Metodyka: W dokumencie opisowym (USW) należy wskazać w jaki sposób oszacowano średnią długość podróży.</t>
  </si>
  <si>
    <t xml:space="preserve">Metodyka: W dokumencie opisowym (USW) należy wskazać w jaki sposób oszacowano roczną liczbę pasażerów, uwzględniając m.in. liczbę miejsc w autobusach, częstotliwość kursowania. </t>
  </si>
  <si>
    <r>
      <t>Źródło: Założenie eksperckie na podstawie projektów ocenianych przez CUPT w</t>
    </r>
    <r>
      <rPr>
        <sz val="11"/>
        <color theme="1" tint="0.34998626667073579"/>
        <rFont val="Calibri"/>
        <family val="2"/>
        <charset val="238"/>
      </rPr>
      <t> </t>
    </r>
    <r>
      <rPr>
        <sz val="11"/>
        <color theme="1" tint="0.34998626667073579"/>
        <rFont val="Calibri"/>
        <family val="2"/>
        <charset val="238"/>
        <scheme val="minor"/>
      </rPr>
      <t>perspektywie finansowej 2014-2020</t>
    </r>
  </si>
  <si>
    <t>Źródło: GUS, https://stat.gov.pl/wskazniki-makroekonomiczne/ - Roczne wskaźniki makroekonomiczne, arkusz "RACH_NARODOWE_ESA2010" (aktualizacja 27.04.2022)</t>
  </si>
  <si>
    <t>Źródło: Wytyczne dotyczące stosowania jednolitych wskaźników makroekonomicznych będących podstawą oszacowania skutków finansowych projektowanych ustaw, Minister Finansów, 29 kwietnia 2022 r.</t>
  </si>
  <si>
    <t>Uwaga, jeśli w kolumnie E zamiast "OK" pojawia się "BŁĄD", to znaczy że podano założenie dla autobusów które nie są uwzględnione w projekcie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</si>
</sst>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00_ ;\-#,##0.00\ "/>
    <numFmt numFmtId="165" formatCode="#,##0.000"/>
    <numFmt numFmtId="166" formatCode="#,##0.0000"/>
    <numFmt numFmtId="167" formatCode="\+#,##0.00;\–#,##0.00;&quot;–&quot;;@"/>
    <numFmt numFmtId="168" formatCode="0.000"/>
    <numFmt numFmtId="169" formatCode="0.0000"/>
    <numFmt numFmtId="170" formatCode="#,##0.0"/>
    <numFmt numFmtId="171" formatCode="#,##0.000000"/>
    <numFmt numFmtId="172" formatCode="0.0%"/>
    <numFmt numFmtId="173" formatCode="\+#,##0.00%;\–#,##0.00%;&quot;–&quot;;@"/>
    <numFmt numFmtId="174" formatCode="#,##0;\–#,##0;&quot;–&quot;;@"/>
    <numFmt numFmtId="175" formatCode="#,##0.00%;\–#,##0.00%;&quot;–&quot;;@"/>
    <numFmt numFmtId="176" formatCode="0.000000"/>
    <numFmt numFmtId="177" formatCode="\+#,##0.0%;\–#,##0.0%;&quot;–&quot;;@"/>
    <numFmt numFmtId="178" formatCode="mmm\-yyyy"/>
    <numFmt numFmtId="179" formatCode="\+#,##0.0;\–#,##0.0;&quot;–&quot;;@"/>
    <numFmt numFmtId="180" formatCode="0.00000000"/>
    <numFmt numFmtId="181" formatCode="0.00000"/>
    <numFmt numFmtId="182" formatCode="#,##0.000000000"/>
  </numFmts>
  <fonts count="6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b/>
      <sz val="16"/>
      <name val="Calibri"/>
      <family val="2"/>
      <charset val="238"/>
      <scheme val="minor"/>
    </font>
    <font>
      <b/>
      <sz val="11"/>
      <name val="Calibri"/>
      <family val="2"/>
      <charset val="238"/>
      <scheme val="minor"/>
    </font>
    <font>
      <u/>
      <sz val="11"/>
      <color theme="1"/>
      <name val="Calibri"/>
      <family val="2"/>
      <charset val="238"/>
      <scheme val="minor"/>
    </font>
    <font>
      <i/>
      <sz val="11"/>
      <color theme="1"/>
      <name val="Calibri"/>
      <family val="2"/>
      <charset val="238"/>
      <scheme val="minor"/>
    </font>
    <font>
      <sz val="11"/>
      <name val="Calibri"/>
      <family val="2"/>
      <charset val="238"/>
      <scheme val="minor"/>
    </font>
    <font>
      <b/>
      <sz val="12"/>
      <color theme="3"/>
      <name val="Calibri"/>
      <family val="2"/>
      <charset val="238"/>
      <scheme val="minor"/>
    </font>
    <font>
      <b/>
      <sz val="9"/>
      <color indexed="81"/>
      <name val="Tahoma"/>
      <family val="2"/>
      <charset val="238"/>
    </font>
    <font>
      <sz val="9"/>
      <color indexed="81"/>
      <name val="Tahoma"/>
      <family val="2"/>
      <charset val="238"/>
    </font>
    <font>
      <sz val="11"/>
      <color indexed="20"/>
      <name val="Czcionka tekstu podstawowego"/>
      <family val="2"/>
      <charset val="238"/>
    </font>
    <font>
      <i/>
      <sz val="11"/>
      <name val="Calibri"/>
      <family val="2"/>
      <charset val="238"/>
      <scheme val="minor"/>
    </font>
    <font>
      <b/>
      <sz val="12"/>
      <name val="Calibri"/>
      <family val="2"/>
      <charset val="238"/>
      <scheme val="minor"/>
    </font>
    <font>
      <b/>
      <u/>
      <sz val="12"/>
      <name val="Calibri"/>
      <family val="2"/>
      <charset val="238"/>
      <scheme val="minor"/>
    </font>
    <font>
      <b/>
      <i/>
      <sz val="14"/>
      <name val="Calibri"/>
      <family val="2"/>
      <charset val="238"/>
      <scheme val="minor"/>
    </font>
    <font>
      <sz val="10"/>
      <name val="Czcionka tekstu podstawowego"/>
      <charset val="238"/>
    </font>
    <font>
      <vertAlign val="subscript"/>
      <sz val="11"/>
      <color theme="1"/>
      <name val="Calibri"/>
      <family val="2"/>
      <charset val="238"/>
      <scheme val="minor"/>
    </font>
    <font>
      <b/>
      <vertAlign val="subscript"/>
      <sz val="11"/>
      <color theme="1"/>
      <name val="Calibri"/>
      <family val="2"/>
      <charset val="238"/>
      <scheme val="minor"/>
    </font>
    <font>
      <sz val="8"/>
      <color indexed="81"/>
      <name val="Tahoma"/>
      <family val="2"/>
      <charset val="238"/>
    </font>
    <font>
      <b/>
      <sz val="8"/>
      <color indexed="81"/>
      <name val="Tahoma"/>
      <family val="2"/>
      <charset val="238"/>
    </font>
    <font>
      <sz val="11"/>
      <color theme="1"/>
      <name val="Czcionka tekstu podstawowego"/>
      <family val="2"/>
      <charset val="238"/>
    </font>
    <font>
      <i/>
      <vertAlign val="subscript"/>
      <sz val="11"/>
      <color theme="1"/>
      <name val="Calibri"/>
      <family val="2"/>
      <charset val="238"/>
      <scheme val="minor"/>
    </font>
    <font>
      <u/>
      <sz val="9"/>
      <color indexed="81"/>
      <name val="Tahoma"/>
      <family val="2"/>
      <charset val="238"/>
    </font>
    <font>
      <i/>
      <sz val="9"/>
      <color indexed="81"/>
      <name val="Tahoma"/>
      <family val="2"/>
      <charset val="238"/>
    </font>
    <font>
      <sz val="11"/>
      <color theme="1"/>
      <name val="Calibri"/>
      <family val="2"/>
      <charset val="238"/>
    </font>
    <font>
      <i/>
      <sz val="10"/>
      <color theme="1"/>
      <name val="Calibri"/>
      <family val="2"/>
      <charset val="238"/>
      <scheme val="minor"/>
    </font>
    <font>
      <b/>
      <i/>
      <sz val="10"/>
      <color theme="1"/>
      <name val="Calibri"/>
      <family val="2"/>
      <charset val="238"/>
      <scheme val="minor"/>
    </font>
    <font>
      <i/>
      <sz val="10"/>
      <name val="Calibri"/>
      <family val="2"/>
      <charset val="238"/>
      <scheme val="minor"/>
    </font>
    <font>
      <sz val="11"/>
      <color rgb="FF000000"/>
      <name val="Calibri"/>
      <family val="2"/>
      <charset val="238"/>
      <scheme val="minor"/>
    </font>
    <font>
      <sz val="9"/>
      <color theme="1"/>
      <name val="Calibri"/>
      <family val="2"/>
      <charset val="238"/>
      <scheme val="minor"/>
    </font>
    <font>
      <u/>
      <sz val="11"/>
      <color theme="10"/>
      <name val="Calibri"/>
      <family val="2"/>
      <charset val="238"/>
      <scheme val="minor"/>
    </font>
    <font>
      <b/>
      <vertAlign val="subscript"/>
      <sz val="16"/>
      <name val="Calibri"/>
      <family val="2"/>
      <charset val="238"/>
      <scheme val="minor"/>
    </font>
    <font>
      <u/>
      <vertAlign val="subscript"/>
      <sz val="11"/>
      <color theme="10"/>
      <name val="Calibri"/>
      <family val="2"/>
      <charset val="238"/>
      <scheme val="minor"/>
    </font>
    <font>
      <vertAlign val="superscript"/>
      <sz val="11"/>
      <color theme="1"/>
      <name val="Calibri"/>
      <family val="2"/>
      <charset val="238"/>
      <scheme val="minor"/>
    </font>
    <font>
      <i/>
      <vertAlign val="superscript"/>
      <sz val="11"/>
      <color theme="1"/>
      <name val="Calibri"/>
      <family val="2"/>
      <charset val="238"/>
      <scheme val="minor"/>
    </font>
    <font>
      <sz val="11"/>
      <color rgb="FFFF0000"/>
      <name val="Calibri"/>
      <family val="2"/>
      <charset val="238"/>
      <scheme val="minor"/>
    </font>
    <font>
      <i/>
      <sz val="8"/>
      <color theme="1"/>
      <name val="Calibri"/>
      <family val="2"/>
      <charset val="238"/>
      <scheme val="minor"/>
    </font>
    <font>
      <i/>
      <sz val="14"/>
      <color theme="1"/>
      <name val="Calibri"/>
      <family val="2"/>
      <charset val="238"/>
      <scheme val="minor"/>
    </font>
    <font>
      <b/>
      <u/>
      <sz val="11"/>
      <color theme="1"/>
      <name val="Calibri"/>
      <family val="2"/>
      <charset val="238"/>
      <scheme val="minor"/>
    </font>
    <font>
      <sz val="11"/>
      <color theme="0" tint="-0.249977111117893"/>
      <name val="Calibri"/>
      <family val="2"/>
      <charset val="238"/>
      <scheme val="minor"/>
    </font>
    <font>
      <sz val="11"/>
      <color theme="1" tint="0.34998626667073579"/>
      <name val="Calibri"/>
      <family val="2"/>
      <charset val="238"/>
      <scheme val="minor"/>
    </font>
    <font>
      <i/>
      <sz val="11"/>
      <color theme="1"/>
      <name val="Symbol"/>
      <family val="1"/>
      <charset val="2"/>
    </font>
    <font>
      <i/>
      <sz val="11"/>
      <color theme="1"/>
      <name val="Calibri"/>
      <family val="2"/>
      <charset val="238"/>
    </font>
    <font>
      <b/>
      <sz val="8"/>
      <color theme="1"/>
      <name val="Calibri"/>
      <family val="2"/>
      <charset val="238"/>
      <scheme val="minor"/>
    </font>
    <font>
      <sz val="10"/>
      <color theme="1"/>
      <name val="Calibri"/>
      <family val="2"/>
      <charset val="238"/>
      <scheme val="minor"/>
    </font>
    <font>
      <b/>
      <sz val="11"/>
      <color theme="1" tint="0.34998626667073579"/>
      <name val="Calibri"/>
      <family val="2"/>
      <charset val="238"/>
      <scheme val="minor"/>
    </font>
    <font>
      <vertAlign val="subscript"/>
      <sz val="10"/>
      <color theme="1"/>
      <name val="Calibri"/>
      <family val="2"/>
      <charset val="238"/>
      <scheme val="minor"/>
    </font>
    <font>
      <sz val="12"/>
      <color theme="1"/>
      <name val="Calibri"/>
      <family val="2"/>
      <charset val="238"/>
      <scheme val="minor"/>
    </font>
    <font>
      <sz val="14"/>
      <color theme="1"/>
      <name val="Calibri"/>
      <family val="2"/>
      <charset val="238"/>
      <scheme val="minor"/>
    </font>
    <font>
      <sz val="16"/>
      <color theme="1"/>
      <name val="Calibri"/>
      <family val="2"/>
      <charset val="238"/>
      <scheme val="minor"/>
    </font>
    <font>
      <b/>
      <sz val="20"/>
      <color theme="1"/>
      <name val="Calibri"/>
      <family val="2"/>
      <charset val="238"/>
      <scheme val="minor"/>
    </font>
    <font>
      <b/>
      <sz val="12"/>
      <color theme="1"/>
      <name val="Calibri"/>
      <family val="2"/>
      <charset val="238"/>
      <scheme val="minor"/>
    </font>
    <font>
      <b/>
      <u/>
      <sz val="12"/>
      <color theme="1"/>
      <name val="Calibri"/>
      <family val="2"/>
      <charset val="238"/>
      <scheme val="minor"/>
    </font>
    <font>
      <sz val="11"/>
      <color theme="0"/>
      <name val="Calibri"/>
      <family val="2"/>
      <charset val="238"/>
      <scheme val="minor"/>
    </font>
    <font>
      <b/>
      <sz val="16"/>
      <name val="Calibri"/>
      <family val="2"/>
      <charset val="238"/>
    </font>
    <font>
      <b/>
      <sz val="20"/>
      <color theme="1"/>
      <name val="Calibri"/>
      <family val="2"/>
      <charset val="238"/>
    </font>
    <font>
      <b/>
      <vertAlign val="subscript"/>
      <sz val="20"/>
      <color theme="1"/>
      <name val="Calibri"/>
      <family val="2"/>
      <charset val="238"/>
      <scheme val="minor"/>
    </font>
    <font>
      <sz val="12"/>
      <color theme="1"/>
      <name val="Calibri"/>
      <family val="2"/>
      <charset val="238"/>
    </font>
    <font>
      <sz val="11"/>
      <color theme="1" tint="0.34998626667073579"/>
      <name val="Calibri"/>
      <family val="2"/>
      <charset val="238"/>
    </font>
    <font>
      <vertAlign val="subscript"/>
      <sz val="11"/>
      <name val="Calibri"/>
      <family val="2"/>
      <charset val="238"/>
      <scheme val="minor"/>
    </font>
    <font>
      <b/>
      <sz val="11"/>
      <color rgb="FFFF0000"/>
      <name val="Calibri"/>
      <family val="2"/>
      <charset val="238"/>
      <scheme val="minor"/>
    </font>
    <font>
      <sz val="11"/>
      <color theme="2" tint="-0.499984740745262"/>
      <name val="Calibri"/>
      <family val="2"/>
      <charset val="238"/>
      <scheme val="minor"/>
    </font>
    <font>
      <sz val="11"/>
      <color theme="2" tint="-9.9978637043366805E-2"/>
      <name val="Calibri"/>
      <family val="2"/>
      <charset val="238"/>
      <scheme val="minor"/>
    </font>
  </fonts>
  <fills count="15">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lightGray"/>
    </fill>
    <fill>
      <patternFill patternType="solid">
        <fgColor theme="4" tint="0.79998168889431442"/>
        <bgColor indexed="65"/>
      </patternFill>
    </fill>
    <fill>
      <patternFill patternType="solid">
        <fgColor indexed="45"/>
      </patternFill>
    </fill>
    <fill>
      <patternFill patternType="solid">
        <fgColor rgb="FFFFFF00"/>
        <bgColor indexed="64"/>
      </patternFill>
    </fill>
    <fill>
      <patternFill patternType="solid">
        <fgColor theme="0"/>
        <bgColor indexed="64"/>
      </patternFill>
    </fill>
    <fill>
      <patternFill patternType="lightGray">
        <bgColor theme="0"/>
      </patternFill>
    </fill>
    <fill>
      <patternFill patternType="gray125">
        <bgColor auto="1"/>
      </patternFill>
    </fill>
    <fill>
      <patternFill patternType="gray125">
        <bgColor theme="0"/>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dotted">
        <color indexed="64"/>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thin">
        <color indexed="64"/>
      </bottom>
      <diagonal/>
    </border>
    <border>
      <left style="medium">
        <color auto="1"/>
      </left>
      <right style="thin">
        <color auto="1"/>
      </right>
      <top/>
      <bottom style="medium">
        <color auto="1"/>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style="thin">
        <color indexed="64"/>
      </bottom>
      <diagonal/>
    </border>
    <border>
      <left/>
      <right/>
      <top style="medium">
        <color auto="1"/>
      </top>
      <bottom/>
      <diagonal/>
    </border>
    <border>
      <left style="double">
        <color indexed="64"/>
      </left>
      <right style="double">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auto="1"/>
      </left>
      <right/>
      <top/>
      <bottom style="thin">
        <color auto="1"/>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medium">
        <color auto="1"/>
      </left>
      <right/>
      <top/>
      <bottom/>
      <diagonal/>
    </border>
    <border diagonalUp="1" diagonalDown="1">
      <left style="thin">
        <color indexed="64"/>
      </left>
      <right style="double">
        <color indexed="64"/>
      </right>
      <top style="thin">
        <color indexed="64"/>
      </top>
      <bottom style="thin">
        <color indexed="64"/>
      </bottom>
      <diagonal style="dotted">
        <color indexed="64"/>
      </diagonal>
    </border>
    <border diagonalUp="1" diagonalDown="1">
      <left style="hair">
        <color auto="1"/>
      </left>
      <right style="hair">
        <color auto="1"/>
      </right>
      <top style="hair">
        <color auto="1"/>
      </top>
      <bottom style="hair">
        <color auto="1"/>
      </bottom>
      <diagonal style="dotted">
        <color auto="1"/>
      </diagonal>
    </border>
    <border diagonalUp="1" diagonalDown="1">
      <left style="hair">
        <color auto="1"/>
      </left>
      <right style="double">
        <color auto="1"/>
      </right>
      <top style="thin">
        <color indexed="64"/>
      </top>
      <bottom style="hair">
        <color auto="1"/>
      </bottom>
      <diagonal style="dotted">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Up="1" diagonalDown="1">
      <left style="thin">
        <color indexed="64"/>
      </left>
      <right style="thin">
        <color indexed="64"/>
      </right>
      <top style="thin">
        <color indexed="64"/>
      </top>
      <bottom/>
      <diagonal style="dotted">
        <color indexed="64"/>
      </diagonal>
    </border>
    <border diagonalUp="1" diagonalDown="1">
      <left style="thin">
        <color indexed="64"/>
      </left>
      <right style="thin">
        <color indexed="64"/>
      </right>
      <top/>
      <bottom style="thin">
        <color indexed="64"/>
      </bottom>
      <diagonal style="dotted">
        <color indexed="64"/>
      </diagonal>
    </border>
  </borders>
  <cellStyleXfs count="7">
    <xf numFmtId="0" fontId="0" fillId="0" borderId="0"/>
    <xf numFmtId="0" fontId="3" fillId="0" borderId="0"/>
    <xf numFmtId="168" fontId="9" fillId="5" borderId="0"/>
    <xf numFmtId="0" fontId="12" fillId="6" borderId="0" applyNumberFormat="0" applyBorder="0" applyAlignment="0" applyProtection="0"/>
    <xf numFmtId="0" fontId="22" fillId="0" borderId="0"/>
    <xf numFmtId="0" fontId="32" fillId="0" borderId="0" applyNumberFormat="0" applyFill="0" applyBorder="0" applyAlignment="0" applyProtection="0"/>
    <xf numFmtId="9" fontId="1" fillId="0" borderId="0" applyFont="0" applyFill="0" applyBorder="0" applyAlignment="0" applyProtection="0"/>
  </cellStyleXfs>
  <cellXfs count="727">
    <xf numFmtId="0" fontId="0" fillId="0" borderId="0" xfId="0"/>
    <xf numFmtId="0" fontId="2" fillId="0" borderId="0" xfId="0" applyFont="1"/>
    <xf numFmtId="0" fontId="1" fillId="2" borderId="2" xfId="0" applyFont="1" applyFill="1" applyBorder="1" applyAlignment="1">
      <alignment horizontal="center" shrinkToFit="1"/>
    </xf>
    <xf numFmtId="164" fontId="1" fillId="3" borderId="1" xfId="0" applyNumberFormat="1" applyFont="1" applyFill="1" applyBorder="1" applyAlignment="1">
      <alignment horizontal="center"/>
    </xf>
    <xf numFmtId="0" fontId="4" fillId="2" borderId="0" xfId="1" applyFont="1" applyFill="1" applyBorder="1" applyAlignment="1">
      <alignment vertical="center"/>
    </xf>
    <xf numFmtId="0" fontId="5" fillId="2" borderId="0" xfId="1" applyFont="1" applyFill="1" applyBorder="1" applyAlignment="1">
      <alignment vertical="center"/>
    </xf>
    <xf numFmtId="0" fontId="1" fillId="2" borderId="1" xfId="0" applyFont="1" applyFill="1" applyBorder="1" applyAlignment="1">
      <alignment horizontal="center"/>
    </xf>
    <xf numFmtId="4" fontId="1" fillId="0" borderId="1" xfId="0" applyNumberFormat="1" applyFont="1" applyBorder="1"/>
    <xf numFmtId="0" fontId="0" fillId="0" borderId="1" xfId="0" applyFont="1" applyBorder="1" applyAlignment="1">
      <alignment horizontal="left" vertical="center" wrapText="1"/>
    </xf>
    <xf numFmtId="0" fontId="0" fillId="2" borderId="1" xfId="0" applyFont="1" applyFill="1" applyBorder="1" applyAlignment="1">
      <alignment horizontal="left" vertical="center"/>
    </xf>
    <xf numFmtId="165" fontId="1" fillId="0" borderId="1" xfId="0" applyNumberFormat="1" applyFont="1" applyBorder="1"/>
    <xf numFmtId="166" fontId="1" fillId="0" borderId="1" xfId="0" applyNumberFormat="1" applyFont="1" applyBorder="1"/>
    <xf numFmtId="166" fontId="1" fillId="3" borderId="1" xfId="0" applyNumberFormat="1" applyFont="1" applyFill="1" applyBorder="1"/>
    <xf numFmtId="165" fontId="1" fillId="3" borderId="1" xfId="0" applyNumberFormat="1" applyFont="1" applyFill="1" applyBorder="1"/>
    <xf numFmtId="0" fontId="0" fillId="0" borderId="0" xfId="0" quotePrefix="1"/>
    <xf numFmtId="0" fontId="7" fillId="0" borderId="1" xfId="0" applyFont="1" applyBorder="1" applyAlignment="1">
      <alignment horizontal="left" vertical="center" wrapText="1" indent="1"/>
    </xf>
    <xf numFmtId="167" fontId="7" fillId="3" borderId="1" xfId="0" applyNumberFormat="1" applyFont="1" applyFill="1" applyBorder="1" applyAlignment="1">
      <alignment horizontal="center"/>
    </xf>
    <xf numFmtId="167" fontId="7" fillId="0" borderId="1" xfId="0" applyNumberFormat="1" applyFont="1" applyBorder="1"/>
    <xf numFmtId="167" fontId="7" fillId="0" borderId="3" xfId="0" applyNumberFormat="1" applyFont="1" applyBorder="1"/>
    <xf numFmtId="165" fontId="1" fillId="4" borderId="1" xfId="0" applyNumberFormat="1" applyFont="1" applyFill="1" applyBorder="1"/>
    <xf numFmtId="168" fontId="2" fillId="0" borderId="8" xfId="0" applyNumberFormat="1" applyFont="1" applyBorder="1" applyAlignment="1">
      <alignment horizontal="center"/>
    </xf>
    <xf numFmtId="168" fontId="2" fillId="0" borderId="9" xfId="0" applyNumberFormat="1" applyFont="1" applyBorder="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xf>
    <xf numFmtId="0" fontId="0" fillId="0" borderId="10" xfId="0" applyFont="1" applyBorder="1"/>
    <xf numFmtId="0" fontId="0" fillId="0" borderId="7" xfId="0" applyFont="1" applyBorder="1"/>
    <xf numFmtId="168" fontId="0" fillId="0" borderId="16" xfId="0" applyNumberFormat="1" applyFont="1" applyBorder="1"/>
    <xf numFmtId="168" fontId="0" fillId="0" borderId="17" xfId="0" applyNumberFormat="1" applyFont="1" applyBorder="1"/>
    <xf numFmtId="168" fontId="0" fillId="3" borderId="11" xfId="0" applyNumberFormat="1" applyFont="1" applyFill="1" applyBorder="1"/>
    <xf numFmtId="168" fontId="0" fillId="3" borderId="12" xfId="0" applyNumberFormat="1" applyFont="1" applyFill="1" applyBorder="1"/>
    <xf numFmtId="0" fontId="2" fillId="0" borderId="19" xfId="0" applyFont="1" applyBorder="1"/>
    <xf numFmtId="168" fontId="2" fillId="0" borderId="16" xfId="0" applyNumberFormat="1" applyFont="1" applyBorder="1" applyAlignment="1">
      <alignment horizontal="center"/>
    </xf>
    <xf numFmtId="168" fontId="2" fillId="0" borderId="17" xfId="0" applyNumberFormat="1" applyFont="1" applyBorder="1" applyAlignment="1">
      <alignment horizontal="center"/>
    </xf>
    <xf numFmtId="0" fontId="7" fillId="0" borderId="0" xfId="0" applyFont="1"/>
    <xf numFmtId="0" fontId="8" fillId="2" borderId="1" xfId="0" applyFont="1" applyFill="1" applyBorder="1"/>
    <xf numFmtId="0" fontId="13" fillId="0" borderId="0" xfId="0" applyFont="1" applyFill="1" applyBorder="1" applyAlignment="1"/>
    <xf numFmtId="2" fontId="8" fillId="8" borderId="1" xfId="0" applyNumberFormat="1" applyFont="1" applyFill="1" applyBorder="1"/>
    <xf numFmtId="0" fontId="8" fillId="0" borderId="0" xfId="0" applyFont="1" applyFill="1" applyBorder="1" applyAlignment="1"/>
    <xf numFmtId="0" fontId="5" fillId="0" borderId="0" xfId="0" applyFont="1" applyFill="1" applyBorder="1"/>
    <xf numFmtId="0" fontId="5" fillId="2" borderId="1" xfId="0" applyFont="1" applyFill="1" applyBorder="1" applyAlignment="1">
      <alignment horizontal="center"/>
    </xf>
    <xf numFmtId="0" fontId="8" fillId="2" borderId="1" xfId="0" applyFont="1" applyFill="1" applyBorder="1" applyAlignment="1"/>
    <xf numFmtId="2" fontId="8" fillId="8" borderId="20" xfId="0" applyNumberFormat="1" applyFont="1" applyFill="1" applyBorder="1"/>
    <xf numFmtId="170" fontId="8" fillId="8" borderId="1" xfId="0" applyNumberFormat="1" applyFont="1" applyFill="1" applyBorder="1"/>
    <xf numFmtId="170" fontId="8" fillId="0" borderId="1" xfId="0" applyNumberFormat="1" applyFont="1" applyFill="1" applyBorder="1"/>
    <xf numFmtId="170" fontId="8" fillId="4" borderId="1" xfId="0" applyNumberFormat="1" applyFont="1" applyFill="1" applyBorder="1"/>
    <xf numFmtId="165" fontId="8" fillId="0" borderId="20" xfId="0" applyNumberFormat="1" applyFont="1" applyBorder="1"/>
    <xf numFmtId="2" fontId="8" fillId="0" borderId="1" xfId="0" applyNumberFormat="1" applyFont="1" applyFill="1" applyBorder="1"/>
    <xf numFmtId="2" fontId="8" fillId="9" borderId="1" xfId="0" applyNumberFormat="1" applyFont="1" applyFill="1" applyBorder="1"/>
    <xf numFmtId="0" fontId="8" fillId="0" borderId="0" xfId="0" applyFont="1" applyFill="1" applyBorder="1"/>
    <xf numFmtId="3" fontId="8" fillId="8" borderId="1" xfId="0" applyNumberFormat="1" applyFont="1" applyFill="1" applyBorder="1"/>
    <xf numFmtId="3" fontId="8" fillId="8" borderId="20" xfId="0" applyNumberFormat="1" applyFont="1" applyFill="1" applyBorder="1"/>
    <xf numFmtId="3" fontId="8" fillId="10" borderId="1" xfId="0" applyNumberFormat="1" applyFont="1" applyFill="1" applyBorder="1"/>
    <xf numFmtId="165" fontId="8" fillId="0" borderId="1" xfId="0" applyNumberFormat="1" applyFont="1" applyBorder="1"/>
    <xf numFmtId="165" fontId="8" fillId="4" borderId="1" xfId="0" applyNumberFormat="1" applyFont="1" applyFill="1" applyBorder="1"/>
    <xf numFmtId="0" fontId="0" fillId="0" borderId="24" xfId="0" applyBorder="1"/>
    <xf numFmtId="0" fontId="0" fillId="0" borderId="25" xfId="0" applyBorder="1"/>
    <xf numFmtId="0" fontId="0" fillId="0" borderId="26" xfId="0" applyBorder="1"/>
    <xf numFmtId="0" fontId="0" fillId="0" borderId="27" xfId="0" applyBorder="1"/>
    <xf numFmtId="2" fontId="8" fillId="8" borderId="22" xfId="0" applyNumberFormat="1" applyFont="1" applyFill="1" applyBorder="1"/>
    <xf numFmtId="2" fontId="8" fillId="9" borderId="23" xfId="0" applyNumberFormat="1" applyFont="1" applyFill="1" applyBorder="1"/>
    <xf numFmtId="170" fontId="8" fillId="4" borderId="23" xfId="0" applyNumberFormat="1" applyFont="1" applyFill="1" applyBorder="1"/>
    <xf numFmtId="165" fontId="8" fillId="0" borderId="28" xfId="0" applyNumberFormat="1" applyFont="1" applyBorder="1"/>
    <xf numFmtId="165" fontId="8" fillId="4" borderId="23" xfId="0" applyNumberFormat="1" applyFont="1" applyFill="1" applyBorder="1"/>
    <xf numFmtId="2" fontId="8" fillId="0" borderId="22" xfId="0" applyNumberFormat="1" applyFont="1" applyFill="1" applyBorder="1"/>
    <xf numFmtId="2" fontId="8" fillId="8" borderId="23" xfId="0" applyNumberFormat="1" applyFont="1" applyFill="1" applyBorder="1"/>
    <xf numFmtId="3" fontId="8" fillId="8" borderId="22" xfId="0" applyNumberFormat="1" applyFont="1" applyFill="1" applyBorder="1"/>
    <xf numFmtId="3" fontId="8" fillId="8" borderId="23" xfId="0" applyNumberFormat="1" applyFont="1" applyFill="1" applyBorder="1"/>
    <xf numFmtId="165" fontId="8" fillId="0" borderId="22" xfId="0" applyNumberFormat="1" applyFont="1" applyBorder="1"/>
    <xf numFmtId="165" fontId="8" fillId="0" borderId="23" xfId="0" applyNumberFormat="1" applyFont="1" applyBorder="1"/>
    <xf numFmtId="0" fontId="14" fillId="0" borderId="0" xfId="0" applyFont="1"/>
    <xf numFmtId="0" fontId="5" fillId="2" borderId="29" xfId="0" applyFont="1" applyFill="1" applyBorder="1"/>
    <xf numFmtId="0" fontId="8" fillId="2" borderId="29" xfId="0" applyFont="1" applyFill="1" applyBorder="1"/>
    <xf numFmtId="0" fontId="5" fillId="2" borderId="30" xfId="0" applyFont="1" applyFill="1" applyBorder="1"/>
    <xf numFmtId="0" fontId="16" fillId="0" borderId="0" xfId="0" applyFont="1" applyFill="1"/>
    <xf numFmtId="0" fontId="17" fillId="0" borderId="0" xfId="0" applyFont="1" applyFill="1"/>
    <xf numFmtId="0" fontId="8" fillId="0" borderId="29" xfId="0" applyFont="1" applyBorder="1"/>
    <xf numFmtId="0" fontId="8" fillId="0" borderId="1" xfId="0" applyFont="1" applyBorder="1"/>
    <xf numFmtId="2" fontId="8" fillId="0" borderId="0" xfId="0" applyNumberFormat="1" applyFont="1" applyFill="1" applyBorder="1"/>
    <xf numFmtId="169" fontId="8" fillId="0" borderId="1" xfId="0" applyNumberFormat="1" applyFont="1" applyBorder="1"/>
    <xf numFmtId="0" fontId="0" fillId="0" borderId="21" xfId="0" applyBorder="1"/>
    <xf numFmtId="0" fontId="0" fillId="0" borderId="31" xfId="0" applyBorder="1"/>
    <xf numFmtId="0" fontId="0" fillId="0" borderId="18" xfId="0" applyBorder="1"/>
    <xf numFmtId="0" fontId="8" fillId="0" borderId="0" xfId="0" quotePrefix="1" applyFont="1" applyBorder="1"/>
    <xf numFmtId="169" fontId="8" fillId="3" borderId="1" xfId="0" applyNumberFormat="1" applyFont="1" applyFill="1" applyBorder="1"/>
    <xf numFmtId="0" fontId="0" fillId="0" borderId="27" xfId="0" quotePrefix="1" applyBorder="1"/>
    <xf numFmtId="169" fontId="8" fillId="0" borderId="22" xfId="0" applyNumberFormat="1" applyFont="1" applyBorder="1"/>
    <xf numFmtId="169" fontId="8" fillId="0" borderId="23" xfId="0" applyNumberFormat="1" applyFont="1" applyBorder="1"/>
    <xf numFmtId="169" fontId="8" fillId="3" borderId="23" xfId="0" applyNumberFormat="1" applyFont="1" applyFill="1" applyBorder="1"/>
    <xf numFmtId="4" fontId="1" fillId="3" borderId="1" xfId="0" applyNumberFormat="1" applyFont="1" applyFill="1" applyBorder="1"/>
    <xf numFmtId="0" fontId="0" fillId="0" borderId="0" xfId="0" applyFont="1"/>
    <xf numFmtId="4" fontId="1" fillId="0" borderId="22" xfId="0" applyNumberFormat="1" applyFont="1" applyBorder="1"/>
    <xf numFmtId="165" fontId="1" fillId="0" borderId="3" xfId="0" applyNumberFormat="1" applyFont="1" applyBorder="1"/>
    <xf numFmtId="171" fontId="0" fillId="0" borderId="11" xfId="0" applyNumberFormat="1" applyFont="1" applyBorder="1"/>
    <xf numFmtId="171" fontId="0" fillId="0" borderId="12" xfId="0" applyNumberFormat="1" applyFont="1" applyBorder="1"/>
    <xf numFmtId="171" fontId="0" fillId="0" borderId="1" xfId="0" applyNumberFormat="1" applyFont="1" applyBorder="1"/>
    <xf numFmtId="171" fontId="0" fillId="0" borderId="14" xfId="0" applyNumberFormat="1" applyFont="1" applyBorder="1"/>
    <xf numFmtId="171" fontId="0" fillId="0" borderId="14" xfId="0" applyNumberFormat="1" applyFont="1" applyFill="1" applyBorder="1"/>
    <xf numFmtId="0" fontId="0" fillId="0" borderId="13" xfId="0" applyFont="1" applyFill="1" applyBorder="1" applyAlignment="1">
      <alignment horizontal="center" vertical="center" wrapText="1"/>
    </xf>
    <xf numFmtId="171" fontId="0" fillId="0" borderId="1" xfId="0" applyNumberFormat="1" applyFont="1" applyFill="1" applyBorder="1"/>
    <xf numFmtId="169" fontId="8" fillId="0" borderId="3" xfId="0" applyNumberFormat="1" applyFont="1" applyBorder="1"/>
    <xf numFmtId="3" fontId="0" fillId="0" borderId="0" xfId="0" applyNumberFormat="1"/>
    <xf numFmtId="0" fontId="8" fillId="2" borderId="0" xfId="1" applyFont="1" applyFill="1" applyBorder="1"/>
    <xf numFmtId="2" fontId="8" fillId="11" borderId="1" xfId="0" applyNumberFormat="1" applyFont="1" applyFill="1" applyBorder="1"/>
    <xf numFmtId="169" fontId="8" fillId="12" borderId="3" xfId="0" applyNumberFormat="1" applyFont="1" applyFill="1" applyBorder="1"/>
    <xf numFmtId="166" fontId="1" fillId="1" borderId="1" xfId="0" applyNumberFormat="1" applyFont="1" applyFill="1" applyBorder="1"/>
    <xf numFmtId="165" fontId="8" fillId="0" borderId="3" xfId="0" applyNumberFormat="1" applyFont="1" applyBorder="1"/>
    <xf numFmtId="170" fontId="8" fillId="11" borderId="1" xfId="0" applyNumberFormat="1" applyFont="1" applyFill="1" applyBorder="1"/>
    <xf numFmtId="165" fontId="8" fillId="1" borderId="20" xfId="0" applyNumberFormat="1" applyFont="1" applyFill="1" applyBorder="1"/>
    <xf numFmtId="2" fontId="8" fillId="0" borderId="3" xfId="0" applyNumberFormat="1" applyFont="1" applyFill="1" applyBorder="1"/>
    <xf numFmtId="2" fontId="8" fillId="1" borderId="1" xfId="0" applyNumberFormat="1" applyFont="1" applyFill="1" applyBorder="1"/>
    <xf numFmtId="2" fontId="8" fillId="12" borderId="3" xfId="0" applyNumberFormat="1" applyFont="1" applyFill="1" applyBorder="1"/>
    <xf numFmtId="3" fontId="8" fillId="8" borderId="3" xfId="0" applyNumberFormat="1" applyFont="1" applyFill="1" applyBorder="1"/>
    <xf numFmtId="0" fontId="8" fillId="0" borderId="3" xfId="0" applyFont="1" applyBorder="1"/>
    <xf numFmtId="169" fontId="8" fillId="0" borderId="0" xfId="0" applyNumberFormat="1" applyFont="1" applyBorder="1"/>
    <xf numFmtId="169" fontId="8" fillId="0" borderId="26" xfId="0" applyNumberFormat="1" applyFont="1" applyBorder="1"/>
    <xf numFmtId="169" fontId="8" fillId="0" borderId="27" xfId="0" applyNumberFormat="1" applyFont="1" applyBorder="1"/>
    <xf numFmtId="166" fontId="1" fillId="0" borderId="1" xfId="0" applyNumberFormat="1" applyFont="1" applyFill="1" applyBorder="1"/>
    <xf numFmtId="0" fontId="8" fillId="2" borderId="1" xfId="0" applyFont="1" applyFill="1" applyBorder="1" applyAlignment="1">
      <alignment wrapText="1"/>
    </xf>
    <xf numFmtId="4" fontId="1" fillId="0" borderId="20" xfId="0" applyNumberFormat="1" applyFont="1" applyBorder="1"/>
    <xf numFmtId="4" fontId="1" fillId="0" borderId="2" xfId="0" applyNumberFormat="1" applyFont="1" applyBorder="1"/>
    <xf numFmtId="4" fontId="1" fillId="0" borderId="33" xfId="0" applyNumberFormat="1" applyFont="1" applyBorder="1"/>
    <xf numFmtId="171" fontId="0" fillId="0" borderId="9" xfId="0" applyNumberFormat="1" applyFont="1" applyFill="1" applyBorder="1"/>
    <xf numFmtId="0" fontId="2" fillId="0" borderId="4" xfId="0" applyFont="1" applyBorder="1"/>
    <xf numFmtId="0" fontId="2" fillId="0" borderId="6" xfId="0" applyFont="1" applyBorder="1"/>
    <xf numFmtId="0" fontId="2" fillId="0" borderId="5" xfId="0" applyFont="1" applyBorder="1"/>
    <xf numFmtId="171" fontId="0" fillId="0" borderId="8" xfId="0" applyNumberFormat="1" applyFont="1" applyFill="1" applyBorder="1"/>
    <xf numFmtId="172" fontId="0" fillId="0" borderId="0" xfId="0" applyNumberFormat="1"/>
    <xf numFmtId="165" fontId="0" fillId="0" borderId="1" xfId="0" applyNumberFormat="1" applyFont="1" applyFill="1" applyBorder="1"/>
    <xf numFmtId="165" fontId="1" fillId="0" borderId="1" xfId="0" applyNumberFormat="1" applyFont="1" applyFill="1" applyBorder="1"/>
    <xf numFmtId="0" fontId="2" fillId="2" borderId="0" xfId="0" applyFont="1" applyFill="1"/>
    <xf numFmtId="0" fontId="2" fillId="0" borderId="0" xfId="0" applyFont="1" applyAlignment="1"/>
    <xf numFmtId="4" fontId="0" fillId="0" borderId="0" xfId="0" applyNumberFormat="1"/>
    <xf numFmtId="170" fontId="0" fillId="0" borderId="0" xfId="0" applyNumberFormat="1"/>
    <xf numFmtId="0" fontId="2" fillId="0" borderId="0" xfId="0" applyFont="1" applyAlignment="1">
      <alignment wrapText="1"/>
    </xf>
    <xf numFmtId="0" fontId="0" fillId="0" borderId="15" xfId="0" applyBorder="1"/>
    <xf numFmtId="0" fontId="0" fillId="0" borderId="34" xfId="0" applyBorder="1"/>
    <xf numFmtId="4" fontId="0" fillId="0" borderId="18" xfId="0" applyNumberFormat="1" applyBorder="1"/>
    <xf numFmtId="3" fontId="0" fillId="0" borderId="18" xfId="0" applyNumberFormat="1" applyBorder="1"/>
    <xf numFmtId="0" fontId="0" fillId="0" borderId="0" xfId="0" applyAlignment="1">
      <alignment horizontal="left" indent="1"/>
    </xf>
    <xf numFmtId="0" fontId="7" fillId="0" borderId="0" xfId="0" applyFont="1" applyFill="1" applyBorder="1" applyAlignment="1"/>
    <xf numFmtId="170" fontId="0" fillId="0" borderId="0" xfId="0" applyNumberFormat="1" applyFill="1"/>
    <xf numFmtId="165" fontId="0" fillId="0" borderId="0" xfId="0" applyNumberFormat="1"/>
    <xf numFmtId="165" fontId="0" fillId="0" borderId="18" xfId="0" applyNumberFormat="1" applyBorder="1"/>
    <xf numFmtId="0" fontId="0" fillId="0" borderId="0" xfId="0" applyFill="1" applyBorder="1"/>
    <xf numFmtId="0" fontId="0" fillId="2" borderId="1" xfId="0" applyFont="1" applyFill="1" applyBorder="1" applyAlignment="1">
      <alignment horizontal="left" vertical="center" wrapText="1"/>
    </xf>
    <xf numFmtId="0" fontId="0" fillId="0" borderId="1" xfId="0" applyBorder="1"/>
    <xf numFmtId="0" fontId="0" fillId="2" borderId="34" xfId="0" applyFill="1" applyBorder="1"/>
    <xf numFmtId="0" fontId="0" fillId="0" borderId="0" xfId="0" applyBorder="1"/>
    <xf numFmtId="4" fontId="0" fillId="0" borderId="0" xfId="0" applyNumberFormat="1" applyBorder="1"/>
    <xf numFmtId="3" fontId="0" fillId="0" borderId="0" xfId="0" applyNumberFormat="1" applyBorder="1"/>
    <xf numFmtId="170" fontId="0" fillId="0" borderId="0" xfId="0" applyNumberFormat="1" applyBorder="1"/>
    <xf numFmtId="4" fontId="0" fillId="0" borderId="0" xfId="0" applyNumberFormat="1" applyFill="1" applyBorder="1"/>
    <xf numFmtId="3" fontId="0" fillId="0" borderId="0" xfId="0" applyNumberFormat="1" applyFill="1" applyBorder="1"/>
    <xf numFmtId="0" fontId="2" fillId="0" borderId="2" xfId="0" applyFont="1" applyBorder="1"/>
    <xf numFmtId="0" fontId="2" fillId="0" borderId="15" xfId="0" applyFont="1" applyBorder="1"/>
    <xf numFmtId="0" fontId="0" fillId="0" borderId="2" xfId="0" applyBorder="1"/>
    <xf numFmtId="0" fontId="2" fillId="0" borderId="2" xfId="0" applyFont="1" applyFill="1" applyBorder="1"/>
    <xf numFmtId="0" fontId="2" fillId="0" borderId="15" xfId="0" applyFont="1" applyFill="1" applyBorder="1"/>
    <xf numFmtId="174" fontId="0" fillId="0" borderId="20" xfId="0" applyNumberFormat="1" applyBorder="1"/>
    <xf numFmtId="174" fontId="2" fillId="0" borderId="20" xfId="0" applyNumberFormat="1" applyFont="1" applyBorder="1"/>
    <xf numFmtId="175" fontId="0" fillId="0" borderId="2" xfId="0" applyNumberFormat="1" applyBorder="1"/>
    <xf numFmtId="175" fontId="2" fillId="0" borderId="2" xfId="0" applyNumberFormat="1" applyFont="1" applyBorder="1"/>
    <xf numFmtId="174" fontId="27" fillId="0" borderId="1" xfId="0" applyNumberFormat="1" applyFont="1" applyBorder="1"/>
    <xf numFmtId="174" fontId="28" fillId="0" borderId="1" xfId="0" applyNumberFormat="1" applyFont="1" applyBorder="1"/>
    <xf numFmtId="0" fontId="28" fillId="0" borderId="1" xfId="0" applyFont="1" applyFill="1" applyBorder="1" applyAlignment="1">
      <alignment horizontal="right" wrapText="1"/>
    </xf>
    <xf numFmtId="0" fontId="0" fillId="0" borderId="2" xfId="0" applyBorder="1" applyAlignment="1">
      <alignment horizontal="left" indent="1"/>
    </xf>
    <xf numFmtId="0" fontId="2" fillId="0" borderId="0" xfId="0" applyFont="1" applyFill="1" applyBorder="1"/>
    <xf numFmtId="0" fontId="2" fillId="0" borderId="1" xfId="0" applyFont="1" applyFill="1" applyBorder="1" applyAlignment="1">
      <alignment horizontal="right"/>
    </xf>
    <xf numFmtId="0" fontId="2" fillId="0" borderId="1" xfId="0" applyFont="1" applyFill="1" applyBorder="1"/>
    <xf numFmtId="10" fontId="0" fillId="0" borderId="1" xfId="0" applyNumberFormat="1" applyBorder="1"/>
    <xf numFmtId="10" fontId="0" fillId="3" borderId="1" xfId="0" applyNumberFormat="1" applyFill="1" applyBorder="1"/>
    <xf numFmtId="10" fontId="0" fillId="3" borderId="2" xfId="0" applyNumberFormat="1" applyFill="1" applyBorder="1"/>
    <xf numFmtId="10" fontId="0" fillId="0" borderId="33" xfId="0" applyNumberFormat="1" applyBorder="1"/>
    <xf numFmtId="10" fontId="0" fillId="0" borderId="20" xfId="0" applyNumberFormat="1" applyBorder="1"/>
    <xf numFmtId="0" fontId="27" fillId="0" borderId="0" xfId="0" applyFont="1"/>
    <xf numFmtId="173" fontId="27" fillId="0" borderId="0" xfId="0" applyNumberFormat="1" applyFont="1" applyAlignment="1">
      <alignment horizontal="right"/>
    </xf>
    <xf numFmtId="0" fontId="0" fillId="0" borderId="0" xfId="0" applyFill="1"/>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2" borderId="34" xfId="0" applyFill="1" applyBorder="1" applyAlignment="1">
      <alignment wrapText="1"/>
    </xf>
    <xf numFmtId="4" fontId="0" fillId="0" borderId="1" xfId="0" applyNumberFormat="1" applyFont="1" applyFill="1" applyBorder="1"/>
    <xf numFmtId="0" fontId="0" fillId="2" borderId="1" xfId="0" applyFont="1" applyFill="1" applyBorder="1" applyAlignment="1">
      <alignment horizontal="center"/>
    </xf>
    <xf numFmtId="0" fontId="0" fillId="2" borderId="2" xfId="0" applyFont="1" applyFill="1" applyBorder="1" applyAlignment="1">
      <alignment horizontal="left" vertical="center"/>
    </xf>
    <xf numFmtId="165" fontId="1" fillId="0" borderId="22" xfId="0" applyNumberFormat="1" applyFont="1" applyBorder="1"/>
    <xf numFmtId="165" fontId="0" fillId="0" borderId="1" xfId="0" applyNumberFormat="1" applyFont="1" applyFill="1" applyBorder="1" applyAlignment="1">
      <alignment wrapText="1"/>
    </xf>
    <xf numFmtId="0" fontId="2" fillId="0" borderId="0" xfId="0" applyFont="1" applyFill="1"/>
    <xf numFmtId="165" fontId="1" fillId="0" borderId="23" xfId="0" applyNumberFormat="1" applyFont="1" applyBorder="1"/>
    <xf numFmtId="0" fontId="13" fillId="0" borderId="0" xfId="0" applyFont="1"/>
    <xf numFmtId="168" fontId="2" fillId="0" borderId="9" xfId="0" applyNumberFormat="1" applyFont="1" applyBorder="1" applyAlignment="1">
      <alignment horizontal="center" wrapText="1"/>
    </xf>
    <xf numFmtId="176" fontId="0" fillId="3" borderId="11" xfId="0" applyNumberFormat="1" applyFont="1" applyFill="1" applyBorder="1"/>
    <xf numFmtId="176" fontId="0" fillId="3" borderId="12" xfId="0" applyNumberFormat="1" applyFont="1" applyFill="1" applyBorder="1"/>
    <xf numFmtId="0" fontId="0" fillId="0" borderId="7" xfId="0" applyFont="1" applyBorder="1" applyAlignment="1">
      <alignment horizontal="center" vertical="center"/>
    </xf>
    <xf numFmtId="0" fontId="0" fillId="0" borderId="0" xfId="0"/>
    <xf numFmtId="0" fontId="0" fillId="0" borderId="0" xfId="0"/>
    <xf numFmtId="0" fontId="0" fillId="0" borderId="34" xfId="0" applyFill="1" applyBorder="1" applyAlignment="1">
      <alignment wrapText="1"/>
    </xf>
    <xf numFmtId="177" fontId="7" fillId="0" borderId="0" xfId="0" applyNumberFormat="1" applyFont="1" applyFill="1" applyBorder="1"/>
    <xf numFmtId="10" fontId="0" fillId="0" borderId="29" xfId="0" applyNumberFormat="1" applyBorder="1"/>
    <xf numFmtId="10" fontId="27" fillId="3" borderId="1" xfId="0" applyNumberFormat="1" applyFont="1" applyFill="1" applyBorder="1"/>
    <xf numFmtId="10" fontId="27" fillId="3" borderId="2" xfId="0" applyNumberFormat="1" applyFont="1" applyFill="1" applyBorder="1"/>
    <xf numFmtId="10" fontId="27" fillId="0" borderId="33" xfId="0" applyNumberFormat="1" applyFont="1" applyBorder="1"/>
    <xf numFmtId="10" fontId="27" fillId="0" borderId="20" xfId="0" applyNumberFormat="1" applyFont="1" applyBorder="1"/>
    <xf numFmtId="10" fontId="27" fillId="0" borderId="1" xfId="0" applyNumberFormat="1" applyFont="1" applyBorder="1"/>
    <xf numFmtId="0" fontId="27" fillId="0" borderId="2" xfId="0" applyFont="1" applyBorder="1" applyAlignment="1">
      <alignment horizontal="left" indent="1"/>
    </xf>
    <xf numFmtId="10" fontId="0" fillId="0" borderId="0" xfId="0" applyNumberFormat="1"/>
    <xf numFmtId="0" fontId="0" fillId="0" borderId="0" xfId="0"/>
    <xf numFmtId="0" fontId="27" fillId="0" borderId="21" xfId="0" applyFont="1" applyBorder="1"/>
    <xf numFmtId="10" fontId="27" fillId="0" borderId="29" xfId="0" applyNumberFormat="1" applyFont="1" applyBorder="1"/>
    <xf numFmtId="10" fontId="27" fillId="0" borderId="33" xfId="0" applyNumberFormat="1" applyFont="1" applyFill="1" applyBorder="1"/>
    <xf numFmtId="10" fontId="1" fillId="0" borderId="1" xfId="0" applyNumberFormat="1" applyFont="1" applyBorder="1"/>
    <xf numFmtId="0" fontId="0" fillId="3" borderId="1" xfId="0" applyFont="1" applyFill="1" applyBorder="1" applyAlignment="1">
      <alignment horizontal="left" vertical="center" indent="1"/>
    </xf>
    <xf numFmtId="0" fontId="0" fillId="0" borderId="0" xfId="0"/>
    <xf numFmtId="165" fontId="7" fillId="0" borderId="1" xfId="0" applyNumberFormat="1" applyFont="1" applyBorder="1" applyAlignment="1">
      <alignment vertical="center"/>
    </xf>
    <xf numFmtId="0" fontId="0" fillId="0" borderId="0" xfId="0"/>
    <xf numFmtId="0" fontId="0" fillId="0" borderId="0" xfId="0"/>
    <xf numFmtId="0" fontId="0" fillId="0" borderId="38" xfId="0" applyFont="1" applyBorder="1" applyAlignment="1">
      <alignment horizontal="center" vertical="center" wrapText="1"/>
    </xf>
    <xf numFmtId="171" fontId="0" fillId="0" borderId="39" xfId="0" applyNumberFormat="1" applyFont="1" applyBorder="1"/>
    <xf numFmtId="171" fontId="0" fillId="0" borderId="40" xfId="0" applyNumberFormat="1" applyFont="1" applyBorder="1"/>
    <xf numFmtId="171" fontId="0" fillId="0" borderId="8" xfId="0" applyNumberFormat="1" applyFont="1" applyBorder="1"/>
    <xf numFmtId="0" fontId="1" fillId="2" borderId="1" xfId="0" applyFont="1" applyFill="1" applyBorder="1" applyAlignment="1">
      <alignment horizontal="left"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165" fontId="0" fillId="3" borderId="1" xfId="0" applyNumberFormat="1" applyFont="1" applyFill="1" applyBorder="1"/>
    <xf numFmtId="2" fontId="29" fillId="0" borderId="43" xfId="1" applyNumberFormat="1" applyFont="1" applyFill="1" applyBorder="1" applyAlignment="1">
      <alignment horizontal="left" vertical="center" indent="1"/>
    </xf>
    <xf numFmtId="165" fontId="27" fillId="3" borderId="43" xfId="0" applyNumberFormat="1" applyFont="1" applyFill="1" applyBorder="1"/>
    <xf numFmtId="2" fontId="13" fillId="0" borderId="0" xfId="1" applyNumberFormat="1" applyFont="1" applyFill="1" applyBorder="1" applyAlignment="1">
      <alignment horizontal="left" vertical="center"/>
    </xf>
    <xf numFmtId="168" fontId="7" fillId="0" borderId="1" xfId="0" applyNumberFormat="1" applyFont="1" applyBorder="1" applyAlignment="1">
      <alignment vertical="center"/>
    </xf>
    <xf numFmtId="0" fontId="8" fillId="0" borderId="1" xfId="0" applyFont="1" applyFill="1" applyBorder="1" applyAlignment="1">
      <alignment wrapText="1"/>
    </xf>
    <xf numFmtId="171" fontId="27" fillId="0" borderId="47" xfId="0" applyNumberFormat="1" applyFont="1" applyFill="1" applyBorder="1"/>
    <xf numFmtId="171" fontId="27" fillId="0" borderId="48" xfId="0" applyNumberFormat="1" applyFont="1" applyFill="1" applyBorder="1"/>
    <xf numFmtId="0" fontId="0" fillId="0" borderId="10" xfId="0" applyFont="1" applyFill="1" applyBorder="1" applyAlignment="1">
      <alignment horizontal="center" vertical="center" wrapText="1"/>
    </xf>
    <xf numFmtId="171" fontId="0" fillId="0" borderId="11" xfId="0" applyNumberFormat="1" applyFont="1" applyFill="1" applyBorder="1"/>
    <xf numFmtId="171" fontId="0" fillId="0" borderId="12" xfId="0" applyNumberFormat="1" applyFont="1" applyFill="1" applyBorder="1"/>
    <xf numFmtId="2" fontId="8" fillId="0" borderId="29" xfId="1" applyNumberFormat="1" applyFont="1" applyFill="1" applyBorder="1" applyAlignment="1">
      <alignment horizontal="left" vertical="center"/>
    </xf>
    <xf numFmtId="165" fontId="0" fillId="3" borderId="29" xfId="0" applyNumberFormat="1" applyFont="1" applyFill="1" applyBorder="1"/>
    <xf numFmtId="165" fontId="1" fillId="3" borderId="29" xfId="0" applyNumberFormat="1" applyFont="1" applyFill="1" applyBorder="1"/>
    <xf numFmtId="2" fontId="29" fillId="0" borderId="30" xfId="1" applyNumberFormat="1" applyFont="1" applyFill="1" applyBorder="1" applyAlignment="1">
      <alignment horizontal="left" vertical="center" indent="1"/>
    </xf>
    <xf numFmtId="165" fontId="27" fillId="3" borderId="30" xfId="0" applyNumberFormat="1" applyFont="1" applyFill="1" applyBorder="1"/>
    <xf numFmtId="2" fontId="29" fillId="0" borderId="49" xfId="1" applyNumberFormat="1" applyFont="1" applyFill="1" applyBorder="1" applyAlignment="1">
      <alignment horizontal="left" vertical="center" indent="1"/>
    </xf>
    <xf numFmtId="165" fontId="27" fillId="3" borderId="49" xfId="0" applyNumberFormat="1" applyFont="1" applyFill="1" applyBorder="1"/>
    <xf numFmtId="0" fontId="2" fillId="0" borderId="4" xfId="0" applyFont="1" applyFill="1" applyBorder="1"/>
    <xf numFmtId="0" fontId="2" fillId="0" borderId="5" xfId="0" applyFont="1" applyFill="1" applyBorder="1"/>
    <xf numFmtId="0" fontId="2" fillId="0" borderId="6" xfId="0" applyFont="1" applyFill="1" applyBorder="1"/>
    <xf numFmtId="0" fontId="2" fillId="0" borderId="7" xfId="0" applyFont="1" applyFill="1" applyBorder="1" applyAlignment="1">
      <alignment horizontal="center"/>
    </xf>
    <xf numFmtId="168" fontId="2" fillId="0" borderId="8" xfId="0" applyNumberFormat="1" applyFont="1" applyFill="1" applyBorder="1" applyAlignment="1">
      <alignment horizontal="center"/>
    </xf>
    <xf numFmtId="168" fontId="2" fillId="0" borderId="9" xfId="0" applyNumberFormat="1" applyFont="1" applyFill="1" applyBorder="1" applyAlignment="1">
      <alignment horizontal="center"/>
    </xf>
    <xf numFmtId="0" fontId="27" fillId="0" borderId="44" xfId="0" applyFont="1" applyFill="1" applyBorder="1" applyAlignment="1">
      <alignment horizontal="center" vertical="center" wrapText="1"/>
    </xf>
    <xf numFmtId="171" fontId="27" fillId="0" borderId="41" xfId="0" applyNumberFormat="1" applyFont="1" applyFill="1" applyBorder="1"/>
    <xf numFmtId="171" fontId="27" fillId="0" borderId="45" xfId="0" applyNumberFormat="1" applyFont="1" applyFill="1" applyBorder="1"/>
    <xf numFmtId="0" fontId="27" fillId="0" borderId="46" xfId="0" applyFont="1" applyFill="1" applyBorder="1" applyAlignment="1">
      <alignment horizontal="center" vertical="center" wrapText="1"/>
    </xf>
    <xf numFmtId="0" fontId="13" fillId="0" borderId="0" xfId="0" applyFont="1" applyFill="1"/>
    <xf numFmtId="0" fontId="2" fillId="0" borderId="19" xfId="0" applyFont="1" applyFill="1" applyBorder="1"/>
    <xf numFmtId="168" fontId="2" fillId="0" borderId="16" xfId="0" applyNumberFormat="1" applyFont="1" applyFill="1" applyBorder="1" applyAlignment="1">
      <alignment horizontal="center"/>
    </xf>
    <xf numFmtId="168" fontId="2" fillId="0" borderId="17" xfId="0" applyNumberFormat="1" applyFont="1" applyFill="1" applyBorder="1" applyAlignment="1">
      <alignment horizontal="center"/>
    </xf>
    <xf numFmtId="0" fontId="0" fillId="0" borderId="10" xfId="0" applyFont="1" applyFill="1" applyBorder="1"/>
    <xf numFmtId="0" fontId="0" fillId="0" borderId="7" xfId="0" applyFont="1" applyFill="1" applyBorder="1"/>
    <xf numFmtId="168" fontId="0" fillId="0" borderId="16" xfId="0" applyNumberFormat="1" applyFont="1" applyFill="1" applyBorder="1"/>
    <xf numFmtId="168" fontId="0" fillId="0" borderId="17" xfId="0" applyNumberFormat="1" applyFont="1" applyFill="1" applyBorder="1"/>
    <xf numFmtId="0" fontId="0" fillId="2" borderId="29" xfId="0" applyFont="1" applyFill="1" applyBorder="1" applyAlignment="1">
      <alignment horizontal="center" vertical="center"/>
    </xf>
    <xf numFmtId="0" fontId="0" fillId="2" borderId="11" xfId="0" applyFont="1" applyFill="1" applyBorder="1" applyAlignment="1">
      <alignment horizontal="center" vertical="center"/>
    </xf>
    <xf numFmtId="4" fontId="30" fillId="0" borderId="1" xfId="0" applyNumberFormat="1" applyFont="1" applyFill="1" applyBorder="1"/>
    <xf numFmtId="4" fontId="30" fillId="3" borderId="1" xfId="0" applyNumberFormat="1" applyFont="1" applyFill="1" applyBorder="1"/>
    <xf numFmtId="0" fontId="0" fillId="2" borderId="1" xfId="0" applyFont="1" applyFill="1" applyBorder="1"/>
    <xf numFmtId="0" fontId="1" fillId="2" borderId="1" xfId="0" applyFont="1" applyFill="1" applyBorder="1" applyAlignment="1">
      <alignment horizontal="left" vertical="top" wrapText="1"/>
    </xf>
    <xf numFmtId="4" fontId="30" fillId="0" borderId="22" xfId="0" applyNumberFormat="1" applyFont="1" applyFill="1" applyBorder="1"/>
    <xf numFmtId="4" fontId="30" fillId="0" borderId="23" xfId="0" applyNumberFormat="1" applyFont="1" applyFill="1" applyBorder="1"/>
    <xf numFmtId="0" fontId="1" fillId="2" borderId="1" xfId="0" applyFont="1" applyFill="1" applyBorder="1"/>
    <xf numFmtId="0" fontId="0" fillId="2" borderId="41" xfId="0" applyFont="1" applyFill="1" applyBorder="1"/>
    <xf numFmtId="0" fontId="1" fillId="2" borderId="41" xfId="0" applyFont="1" applyFill="1" applyBorder="1" applyAlignment="1">
      <alignment horizontal="left" vertical="top" wrapText="1"/>
    </xf>
    <xf numFmtId="4" fontId="30" fillId="3" borderId="41" xfId="0" applyNumberFormat="1" applyFont="1" applyFill="1" applyBorder="1"/>
    <xf numFmtId="4" fontId="30" fillId="0" borderId="52" xfId="0" applyNumberFormat="1" applyFont="1" applyFill="1" applyBorder="1"/>
    <xf numFmtId="4" fontId="30" fillId="0" borderId="53" xfId="0" applyNumberFormat="1" applyFont="1" applyFill="1" applyBorder="1"/>
    <xf numFmtId="4" fontId="30" fillId="0" borderId="41" xfId="0" applyNumberFormat="1" applyFont="1" applyFill="1" applyBorder="1"/>
    <xf numFmtId="0" fontId="0" fillId="2" borderId="43" xfId="0" applyFont="1" applyFill="1" applyBorder="1"/>
    <xf numFmtId="0" fontId="1" fillId="2" borderId="43" xfId="0" applyFont="1" applyFill="1" applyBorder="1" applyAlignment="1">
      <alignment horizontal="left" vertical="top" wrapText="1"/>
    </xf>
    <xf numFmtId="4" fontId="30" fillId="3" borderId="43" xfId="0" applyNumberFormat="1" applyFont="1" applyFill="1" applyBorder="1"/>
    <xf numFmtId="4" fontId="30" fillId="0" borderId="54" xfId="0" applyNumberFormat="1" applyFont="1" applyFill="1" applyBorder="1"/>
    <xf numFmtId="4" fontId="30" fillId="0" borderId="55" xfId="0" applyNumberFormat="1" applyFont="1" applyFill="1" applyBorder="1"/>
    <xf numFmtId="4" fontId="30" fillId="0" borderId="43" xfId="0" applyNumberFormat="1" applyFont="1" applyFill="1" applyBorder="1"/>
    <xf numFmtId="0" fontId="0" fillId="2" borderId="30"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58" xfId="0" applyFont="1" applyFill="1" applyBorder="1" applyAlignment="1">
      <alignment horizontal="center" vertical="center" shrinkToFit="1"/>
    </xf>
    <xf numFmtId="0" fontId="0" fillId="2" borderId="60" xfId="0" applyFont="1" applyFill="1" applyBorder="1" applyAlignment="1">
      <alignment horizontal="center" vertical="center"/>
    </xf>
    <xf numFmtId="0" fontId="0" fillId="2" borderId="11" xfId="0" applyFont="1" applyFill="1" applyBorder="1" applyAlignment="1">
      <alignment horizontal="center" vertical="center" shrinkToFit="1"/>
    </xf>
    <xf numFmtId="0" fontId="0" fillId="0" borderId="50" xfId="0" applyFont="1" applyFill="1" applyBorder="1"/>
    <xf numFmtId="170" fontId="30" fillId="0" borderId="29" xfId="0" applyNumberFormat="1" applyFont="1" applyFill="1" applyBorder="1"/>
    <xf numFmtId="170" fontId="30" fillId="0" borderId="61" xfId="0" applyNumberFormat="1" applyFont="1" applyFill="1" applyBorder="1"/>
    <xf numFmtId="170" fontId="30" fillId="0" borderId="62" xfId="0" applyNumberFormat="1" applyFont="1" applyFill="1" applyBorder="1"/>
    <xf numFmtId="3" fontId="30" fillId="0" borderId="61" xfId="0" applyNumberFormat="1" applyFont="1" applyFill="1" applyBorder="1"/>
    <xf numFmtId="3" fontId="30" fillId="0" borderId="63" xfId="0" applyNumberFormat="1" applyFont="1" applyFill="1" applyBorder="1"/>
    <xf numFmtId="3" fontId="30" fillId="0" borderId="62" xfId="0" applyNumberFormat="1" applyFont="1" applyFill="1" applyBorder="1"/>
    <xf numFmtId="0" fontId="0" fillId="0" borderId="64" xfId="0" applyFont="1" applyFill="1" applyBorder="1"/>
    <xf numFmtId="170" fontId="30" fillId="0" borderId="11" xfId="0" applyNumberFormat="1" applyFont="1" applyFill="1" applyBorder="1"/>
    <xf numFmtId="170" fontId="30" fillId="0" borderId="58" xfId="0" applyNumberFormat="1" applyFont="1" applyFill="1" applyBorder="1"/>
    <xf numFmtId="170" fontId="30" fillId="0" borderId="59" xfId="0" applyNumberFormat="1" applyFont="1" applyFill="1" applyBorder="1"/>
    <xf numFmtId="3" fontId="30" fillId="0" borderId="58" xfId="0" applyNumberFormat="1" applyFont="1" applyFill="1" applyBorder="1"/>
    <xf numFmtId="3" fontId="30" fillId="0" borderId="60" xfId="0" applyNumberFormat="1" applyFont="1" applyFill="1" applyBorder="1"/>
    <xf numFmtId="3" fontId="30" fillId="0" borderId="59" xfId="0" applyNumberFormat="1" applyFont="1" applyFill="1" applyBorder="1"/>
    <xf numFmtId="0" fontId="0" fillId="0" borderId="0" xfId="0" applyFont="1" applyFill="1" applyBorder="1"/>
    <xf numFmtId="0" fontId="0" fillId="2" borderId="42" xfId="0" applyFont="1" applyFill="1" applyBorder="1"/>
    <xf numFmtId="0" fontId="1" fillId="2" borderId="42" xfId="0" applyFont="1" applyFill="1" applyBorder="1" applyAlignment="1">
      <alignment horizontal="left" vertical="top" wrapText="1"/>
    </xf>
    <xf numFmtId="4" fontId="30" fillId="3" borderId="42" xfId="0" applyNumberFormat="1" applyFont="1" applyFill="1" applyBorder="1"/>
    <xf numFmtId="4" fontId="30" fillId="0" borderId="65" xfId="0" applyNumberFormat="1" applyFont="1" applyFill="1" applyBorder="1"/>
    <xf numFmtId="4" fontId="30" fillId="0" borderId="66" xfId="0" applyNumberFormat="1" applyFont="1" applyFill="1" applyBorder="1"/>
    <xf numFmtId="4" fontId="30" fillId="0" borderId="42" xfId="0" applyNumberFormat="1" applyFont="1" applyFill="1" applyBorder="1"/>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0" borderId="34" xfId="0" applyBorder="1" applyAlignment="1">
      <alignment wrapText="1"/>
    </xf>
    <xf numFmtId="0" fontId="0" fillId="2" borderId="34" xfId="0" applyFill="1" applyBorder="1" applyAlignment="1">
      <alignment wrapText="1"/>
    </xf>
    <xf numFmtId="0" fontId="0" fillId="0" borderId="0" xfId="0"/>
    <xf numFmtId="0" fontId="0" fillId="0" borderId="0" xfId="0"/>
    <xf numFmtId="0" fontId="0" fillId="0" borderId="2" xfId="0" applyFont="1" applyFill="1" applyBorder="1" applyAlignment="1">
      <alignment horizontal="left" vertical="center" indent="1"/>
    </xf>
    <xf numFmtId="2" fontId="8" fillId="0" borderId="1" xfId="1" applyNumberFormat="1" applyFont="1" applyFill="1" applyBorder="1" applyAlignment="1">
      <alignment horizontal="left" vertical="center" wrapText="1"/>
    </xf>
    <xf numFmtId="0" fontId="1" fillId="2" borderId="29"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29" xfId="1" applyFont="1" applyFill="1" applyBorder="1" applyAlignment="1">
      <alignment horizontal="center" vertical="center"/>
    </xf>
    <xf numFmtId="2" fontId="8" fillId="0" borderId="30" xfId="1" applyNumberFormat="1" applyFont="1" applyFill="1" applyBorder="1" applyAlignment="1">
      <alignment horizontal="left" vertical="center"/>
    </xf>
    <xf numFmtId="165" fontId="0" fillId="3" borderId="30" xfId="0" applyNumberFormat="1" applyFont="1" applyFill="1" applyBorder="1"/>
    <xf numFmtId="165" fontId="1" fillId="3" borderId="30" xfId="0" applyNumberFormat="1" applyFont="1" applyFill="1" applyBorder="1"/>
    <xf numFmtId="165" fontId="1" fillId="0" borderId="30" xfId="0" applyNumberFormat="1" applyFont="1" applyBorder="1"/>
    <xf numFmtId="0" fontId="8" fillId="2" borderId="15" xfId="1" applyFont="1" applyFill="1" applyBorder="1" applyAlignment="1">
      <alignment horizontal="center" vertical="center" wrapText="1"/>
    </xf>
    <xf numFmtId="0" fontId="8" fillId="2" borderId="15" xfId="1" applyFont="1" applyFill="1" applyBorder="1" applyAlignment="1">
      <alignment horizontal="center" vertical="center"/>
    </xf>
    <xf numFmtId="0" fontId="8" fillId="2" borderId="20" xfId="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165" fontId="8" fillId="0" borderId="1" xfId="3" applyNumberFormat="1" applyFont="1" applyFill="1" applyBorder="1" applyAlignment="1">
      <alignment vertical="center"/>
    </xf>
    <xf numFmtId="2" fontId="8" fillId="0" borderId="1" xfId="1" applyNumberFormat="1" applyFont="1" applyFill="1" applyBorder="1" applyAlignment="1">
      <alignment horizontal="left" vertical="center"/>
    </xf>
    <xf numFmtId="0" fontId="30" fillId="0" borderId="0" xfId="0" applyFont="1" applyFill="1" applyBorder="1"/>
    <xf numFmtId="0" fontId="30" fillId="0" borderId="64" xfId="0" applyFont="1" applyFill="1" applyBorder="1"/>
    <xf numFmtId="3" fontId="30" fillId="0" borderId="11" xfId="0" applyNumberFormat="1" applyFont="1" applyFill="1" applyBorder="1" applyAlignment="1">
      <alignment horizontal="right"/>
    </xf>
    <xf numFmtId="4" fontId="30" fillId="0" borderId="11" xfId="0" applyNumberFormat="1" applyFont="1" applyFill="1" applyBorder="1" applyAlignment="1">
      <alignment horizontal="right"/>
    </xf>
    <xf numFmtId="0" fontId="7" fillId="0" borderId="56" xfId="0" applyFont="1" applyFill="1" applyBorder="1"/>
    <xf numFmtId="165" fontId="8" fillId="0" borderId="22" xfId="3" applyNumberFormat="1" applyFont="1" applyFill="1" applyBorder="1" applyAlignment="1">
      <alignment vertical="center"/>
    </xf>
    <xf numFmtId="165" fontId="8" fillId="0" borderId="23" xfId="3" applyNumberFormat="1" applyFont="1" applyFill="1" applyBorder="1" applyAlignment="1">
      <alignment vertical="center"/>
    </xf>
    <xf numFmtId="0" fontId="0" fillId="0" borderId="0" xfId="0"/>
    <xf numFmtId="0" fontId="30" fillId="0" borderId="35" xfId="0" applyFont="1" applyFill="1" applyBorder="1" applyAlignment="1">
      <alignment horizontal="left"/>
    </xf>
    <xf numFmtId="0" fontId="30" fillId="3" borderId="1"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8" xfId="0" applyFont="1" applyFill="1" applyBorder="1" applyAlignment="1">
      <alignment horizontal="center" vertical="center"/>
    </xf>
    <xf numFmtId="0" fontId="30" fillId="3" borderId="8" xfId="0" applyFont="1" applyFill="1" applyBorder="1" applyAlignment="1">
      <alignment horizontal="center" vertical="center" wrapText="1"/>
    </xf>
    <xf numFmtId="0" fontId="0" fillId="0" borderId="0" xfId="0"/>
    <xf numFmtId="0" fontId="0" fillId="0" borderId="0" xfId="0" applyFont="1" applyFill="1"/>
    <xf numFmtId="165" fontId="1" fillId="0" borderId="1" xfId="0" applyNumberFormat="1" applyFont="1" applyBorder="1" applyAlignment="1">
      <alignment horizontal="right"/>
    </xf>
    <xf numFmtId="173" fontId="1" fillId="0" borderId="1" xfId="0" applyNumberFormat="1" applyFont="1" applyBorder="1" applyAlignment="1">
      <alignment horizontal="right"/>
    </xf>
    <xf numFmtId="165" fontId="1" fillId="0" borderId="29" xfId="0" applyNumberFormat="1" applyFont="1" applyBorder="1" applyAlignment="1">
      <alignment horizontal="right"/>
    </xf>
    <xf numFmtId="0" fontId="8" fillId="2" borderId="1" xfId="1" applyFont="1" applyFill="1" applyBorder="1" applyAlignment="1">
      <alignment horizontal="center" wrapText="1"/>
    </xf>
    <xf numFmtId="173" fontId="1" fillId="0" borderId="29" xfId="0" applyNumberFormat="1" applyFont="1" applyBorder="1" applyAlignment="1">
      <alignment horizontal="right"/>
    </xf>
    <xf numFmtId="173" fontId="27" fillId="0" borderId="30" xfId="0" applyNumberFormat="1" applyFont="1" applyFill="1" applyBorder="1" applyAlignment="1">
      <alignment horizontal="right"/>
    </xf>
    <xf numFmtId="173" fontId="27" fillId="0" borderId="49" xfId="0" applyNumberFormat="1" applyFont="1" applyFill="1" applyBorder="1" applyAlignment="1">
      <alignment horizontal="right"/>
    </xf>
    <xf numFmtId="173" fontId="27" fillId="0" borderId="43" xfId="0" applyNumberFormat="1" applyFont="1" applyFill="1" applyBorder="1" applyAlignment="1">
      <alignment horizontal="right"/>
    </xf>
    <xf numFmtId="173" fontId="1" fillId="0" borderId="29" xfId="0" applyNumberFormat="1" applyFont="1" applyFill="1" applyBorder="1" applyAlignment="1">
      <alignment horizontal="right"/>
    </xf>
    <xf numFmtId="0" fontId="30" fillId="3" borderId="35" xfId="0" applyFont="1" applyFill="1" applyBorder="1" applyAlignment="1">
      <alignment horizontal="left"/>
    </xf>
    <xf numFmtId="165" fontId="27" fillId="0" borderId="30" xfId="0" applyNumberFormat="1" applyFont="1" applyFill="1" applyBorder="1" applyAlignment="1">
      <alignment horizontal="right"/>
    </xf>
    <xf numFmtId="165" fontId="27" fillId="0" borderId="49" xfId="0" applyNumberFormat="1" applyFont="1" applyFill="1" applyBorder="1" applyAlignment="1">
      <alignment horizontal="right"/>
    </xf>
    <xf numFmtId="165" fontId="27" fillId="0" borderId="43" xfId="0" applyNumberFormat="1" applyFont="1" applyFill="1" applyBorder="1" applyAlignment="1">
      <alignment horizontal="right"/>
    </xf>
    <xf numFmtId="2" fontId="8" fillId="0" borderId="29" xfId="1" applyNumberFormat="1" applyFont="1" applyFill="1" applyBorder="1" applyAlignment="1">
      <alignment horizontal="left" vertical="center" wrapText="1"/>
    </xf>
    <xf numFmtId="165" fontId="1" fillId="0" borderId="29" xfId="0" applyNumberFormat="1" applyFont="1" applyBorder="1"/>
    <xf numFmtId="2" fontId="29" fillId="0" borderId="30" xfId="1" applyNumberFormat="1" applyFont="1" applyFill="1" applyBorder="1" applyAlignment="1">
      <alignment horizontal="left" vertical="center" wrapText="1" indent="1"/>
    </xf>
    <xf numFmtId="165" fontId="27" fillId="0" borderId="30" xfId="0" applyNumberFormat="1" applyFont="1" applyFill="1" applyBorder="1"/>
    <xf numFmtId="173" fontId="27" fillId="0" borderId="30" xfId="0" applyNumberFormat="1" applyFont="1" applyBorder="1" applyAlignment="1">
      <alignment horizontal="right"/>
    </xf>
    <xf numFmtId="2" fontId="29" fillId="0" borderId="11" xfId="1" applyNumberFormat="1" applyFont="1" applyFill="1" applyBorder="1" applyAlignment="1">
      <alignment horizontal="left" vertical="center" wrapText="1" indent="1"/>
    </xf>
    <xf numFmtId="165" fontId="27" fillId="0" borderId="11" xfId="0" applyNumberFormat="1" applyFont="1" applyFill="1" applyBorder="1"/>
    <xf numFmtId="165" fontId="27" fillId="3" borderId="11" xfId="0" applyNumberFormat="1" applyFont="1" applyFill="1" applyBorder="1"/>
    <xf numFmtId="165" fontId="27" fillId="0" borderId="11" xfId="0" applyNumberFormat="1" applyFont="1" applyFill="1" applyBorder="1" applyAlignment="1">
      <alignment horizontal="right"/>
    </xf>
    <xf numFmtId="173" fontId="27" fillId="0" borderId="11" xfId="0" applyNumberFormat="1" applyFont="1" applyBorder="1" applyAlignment="1">
      <alignment horizontal="right"/>
    </xf>
    <xf numFmtId="165" fontId="0" fillId="0" borderId="29" xfId="0" applyNumberFormat="1" applyFont="1" applyFill="1" applyBorder="1" applyAlignment="1">
      <alignment horizontal="right"/>
    </xf>
    <xf numFmtId="0" fontId="0" fillId="0" borderId="0" xfId="0"/>
    <xf numFmtId="170" fontId="1" fillId="1" borderId="1" xfId="0" applyNumberFormat="1" applyFont="1" applyFill="1" applyBorder="1"/>
    <xf numFmtId="170" fontId="1" fillId="0" borderId="1" xfId="0" applyNumberFormat="1" applyFont="1" applyBorder="1"/>
    <xf numFmtId="0" fontId="0" fillId="0" borderId="0" xfId="0"/>
    <xf numFmtId="0" fontId="0" fillId="0" borderId="0" xfId="0" applyFont="1" applyAlignment="1"/>
    <xf numFmtId="170" fontId="1" fillId="3" borderId="1" xfId="0" applyNumberFormat="1" applyFont="1" applyFill="1" applyBorder="1"/>
    <xf numFmtId="0" fontId="22" fillId="0" borderId="0" xfId="4"/>
    <xf numFmtId="0" fontId="2" fillId="0" borderId="0" xfId="4" applyFont="1"/>
    <xf numFmtId="0" fontId="1" fillId="2" borderId="1" xfId="4" applyFont="1" applyFill="1" applyBorder="1"/>
    <xf numFmtId="0" fontId="1" fillId="2" borderId="1" xfId="4" applyFont="1" applyFill="1" applyBorder="1" applyAlignment="1">
      <alignment horizontal="center" vertical="center" wrapText="1"/>
    </xf>
    <xf numFmtId="0" fontId="1" fillId="2" borderId="1" xfId="4" applyFont="1" applyFill="1" applyBorder="1" applyAlignment="1">
      <alignment horizontal="center"/>
    </xf>
    <xf numFmtId="0" fontId="7" fillId="0" borderId="0" xfId="4" applyFont="1"/>
    <xf numFmtId="2" fontId="1" fillId="0" borderId="1" xfId="4" applyNumberFormat="1" applyFont="1" applyBorder="1"/>
    <xf numFmtId="0" fontId="8" fillId="0" borderId="0" xfId="4" applyFont="1" applyFill="1" applyBorder="1"/>
    <xf numFmtId="0" fontId="0" fillId="2" borderId="1" xfId="4" applyFont="1" applyFill="1" applyBorder="1"/>
    <xf numFmtId="0" fontId="0" fillId="2" borderId="1" xfId="4" applyFont="1" applyFill="1" applyBorder="1" applyAlignment="1">
      <alignment horizontal="center"/>
    </xf>
    <xf numFmtId="0" fontId="0" fillId="2" borderId="1" xfId="4" applyFont="1" applyFill="1" applyBorder="1" applyAlignment="1">
      <alignment horizontal="center" vertical="center" wrapText="1"/>
    </xf>
    <xf numFmtId="0" fontId="0" fillId="2" borderId="1" xfId="4" applyFont="1" applyFill="1" applyBorder="1" applyAlignment="1">
      <alignment wrapText="1"/>
    </xf>
    <xf numFmtId="0" fontId="7" fillId="0" borderId="0" xfId="4" applyFont="1" applyFill="1" applyBorder="1"/>
    <xf numFmtId="169" fontId="7" fillId="0" borderId="1" xfId="0" applyNumberFormat="1" applyFont="1" applyBorder="1" applyAlignment="1">
      <alignment vertical="center"/>
    </xf>
    <xf numFmtId="169" fontId="13" fillId="0" borderId="1" xfId="0" applyNumberFormat="1" applyFont="1" applyBorder="1" applyAlignment="1">
      <alignment vertical="center"/>
    </xf>
    <xf numFmtId="165" fontId="1" fillId="0" borderId="1" xfId="4" applyNumberFormat="1" applyFont="1" applyBorder="1" applyAlignment="1">
      <alignment horizontal="right"/>
    </xf>
    <xf numFmtId="165" fontId="1" fillId="0" borderId="1" xfId="4" applyNumberFormat="1" applyFont="1" applyFill="1" applyBorder="1" applyAlignment="1">
      <alignment horizontal="right"/>
    </xf>
    <xf numFmtId="0" fontId="0" fillId="0" borderId="0" xfId="0"/>
    <xf numFmtId="0" fontId="0" fillId="2" borderId="22" xfId="0" applyFont="1" applyFill="1" applyBorder="1" applyAlignment="1">
      <alignment horizontal="center"/>
    </xf>
    <xf numFmtId="178" fontId="27" fillId="2" borderId="20" xfId="0" applyNumberFormat="1" applyFont="1" applyFill="1" applyBorder="1" applyAlignment="1">
      <alignment horizontal="center"/>
    </xf>
    <xf numFmtId="178" fontId="27" fillId="2" borderId="1" xfId="0" applyNumberFormat="1" applyFont="1" applyFill="1" applyBorder="1" applyAlignment="1">
      <alignment horizontal="center"/>
    </xf>
    <xf numFmtId="0" fontId="0" fillId="0" borderId="1" xfId="0" applyFont="1" applyBorder="1" applyAlignment="1">
      <alignment horizontal="left" vertical="center"/>
    </xf>
    <xf numFmtId="4" fontId="27" fillId="0" borderId="20" xfId="0" applyNumberFormat="1" applyFont="1" applyFill="1" applyBorder="1"/>
    <xf numFmtId="4" fontId="27" fillId="0" borderId="1" xfId="0" applyNumberFormat="1" applyFont="1" applyFill="1" applyBorder="1"/>
    <xf numFmtId="172" fontId="1" fillId="3" borderId="1" xfId="0" applyNumberFormat="1" applyFont="1" applyFill="1" applyBorder="1"/>
    <xf numFmtId="172" fontId="1" fillId="0" borderId="1" xfId="0" applyNumberFormat="1" applyFont="1" applyBorder="1"/>
    <xf numFmtId="0" fontId="0" fillId="0" borderId="2" xfId="0" applyFont="1" applyBorder="1" applyAlignment="1">
      <alignment horizontal="left" vertical="center" indent="1"/>
    </xf>
    <xf numFmtId="173" fontId="0" fillId="0" borderId="0" xfId="0" applyNumberFormat="1"/>
    <xf numFmtId="0" fontId="0" fillId="0" borderId="0" xfId="0"/>
    <xf numFmtId="0" fontId="27" fillId="2" borderId="1" xfId="0" applyFont="1" applyFill="1" applyBorder="1" applyAlignment="1">
      <alignment horizontal="center"/>
    </xf>
    <xf numFmtId="0" fontId="32" fillId="0" borderId="0" xfId="5"/>
    <xf numFmtId="0" fontId="5" fillId="2" borderId="1" xfId="0" applyFont="1" applyFill="1" applyBorder="1" applyAlignment="1">
      <alignment horizontal="left"/>
    </xf>
    <xf numFmtId="0" fontId="0" fillId="0" borderId="0" xfId="0"/>
    <xf numFmtId="0" fontId="0" fillId="0" borderId="0" xfId="0"/>
    <xf numFmtId="0" fontId="0" fillId="0" borderId="0" xfId="0"/>
    <xf numFmtId="168" fontId="0" fillId="0" borderId="0" xfId="0" applyNumberFormat="1" applyFont="1" applyFill="1" applyBorder="1" applyAlignment="1">
      <alignment horizontal="left" wrapText="1"/>
    </xf>
    <xf numFmtId="0" fontId="0" fillId="0" borderId="0" xfId="0"/>
    <xf numFmtId="0" fontId="0" fillId="0" borderId="0" xfId="0"/>
    <xf numFmtId="166" fontId="1" fillId="1" borderId="22" xfId="0" applyNumberFormat="1" applyFont="1" applyFill="1" applyBorder="1"/>
    <xf numFmtId="165" fontId="8" fillId="0" borderId="68" xfId="0" applyNumberFormat="1" applyFont="1" applyBorder="1"/>
    <xf numFmtId="0" fontId="0" fillId="0" borderId="0" xfId="0"/>
    <xf numFmtId="0" fontId="0" fillId="0" borderId="0" xfId="0"/>
    <xf numFmtId="0" fontId="0" fillId="0" borderId="0" xfId="0"/>
    <xf numFmtId="0" fontId="0" fillId="0" borderId="0" xfId="0"/>
    <xf numFmtId="170" fontId="30" fillId="0" borderId="0" xfId="0" applyNumberFormat="1" applyFont="1" applyFill="1" applyBorder="1"/>
    <xf numFmtId="3" fontId="30" fillId="0" borderId="0" xfId="0" applyNumberFormat="1" applyFont="1" applyFill="1" applyBorder="1"/>
    <xf numFmtId="0" fontId="0" fillId="0" borderId="0" xfId="0" applyAlignment="1">
      <alignment vertical="center"/>
    </xf>
    <xf numFmtId="0" fontId="0" fillId="7" borderId="0" xfId="0" applyFill="1"/>
    <xf numFmtId="0" fontId="0" fillId="0" borderId="0" xfId="0" applyFont="1" applyAlignment="1">
      <alignment vertical="center"/>
    </xf>
    <xf numFmtId="0" fontId="2" fillId="0" borderId="0" xfId="0" applyFont="1" applyAlignment="1">
      <alignment vertical="center"/>
    </xf>
    <xf numFmtId="2" fontId="0" fillId="0" borderId="0" xfId="0" applyNumberFormat="1"/>
    <xf numFmtId="4" fontId="0" fillId="13" borderId="0" xfId="0" applyNumberFormat="1" applyFill="1"/>
    <xf numFmtId="0" fontId="0" fillId="13" borderId="0" xfId="0" applyFill="1"/>
    <xf numFmtId="4" fontId="30" fillId="0" borderId="0" xfId="0" applyNumberFormat="1" applyFont="1"/>
    <xf numFmtId="0" fontId="30" fillId="0" borderId="0" xfId="0" applyFont="1"/>
    <xf numFmtId="0" fontId="0" fillId="0" borderId="0" xfId="0"/>
    <xf numFmtId="0" fontId="0" fillId="0" borderId="0" xfId="0" applyBorder="1" applyAlignment="1">
      <alignment vertical="center"/>
    </xf>
    <xf numFmtId="4" fontId="0" fillId="7" borderId="0" xfId="0" applyNumberFormat="1" applyFill="1" applyBorder="1"/>
    <xf numFmtId="170" fontId="0" fillId="7" borderId="0" xfId="0" applyNumberFormat="1" applyFill="1" applyBorder="1"/>
    <xf numFmtId="0" fontId="0" fillId="0" borderId="0" xfId="0" applyNumberFormat="1" applyFill="1"/>
    <xf numFmtId="3" fontId="0" fillId="0" borderId="0" xfId="0" applyNumberFormat="1" applyFill="1"/>
    <xf numFmtId="0" fontId="7" fillId="0" borderId="0" xfId="0" applyNumberFormat="1" applyFont="1" applyFill="1"/>
    <xf numFmtId="0" fontId="7" fillId="0" borderId="0" xfId="0" applyFont="1" applyFill="1"/>
    <xf numFmtId="0" fontId="7" fillId="0" borderId="0" xfId="0" applyFont="1" applyFill="1" applyAlignment="1">
      <alignment horizontal="left" indent="1"/>
    </xf>
    <xf numFmtId="0" fontId="0" fillId="0" borderId="0" xfId="0" applyFont="1" applyFill="1" applyAlignment="1">
      <alignment horizontal="left"/>
    </xf>
    <xf numFmtId="0" fontId="0" fillId="0" borderId="0" xfId="0" applyNumberFormat="1" applyFont="1" applyFill="1"/>
    <xf numFmtId="0" fontId="0" fillId="0" borderId="0" xfId="0" applyFill="1" applyAlignment="1">
      <alignment horizontal="right"/>
    </xf>
    <xf numFmtId="0" fontId="0" fillId="0" borderId="0" xfId="0"/>
    <xf numFmtId="0" fontId="0" fillId="0" borderId="0" xfId="0"/>
    <xf numFmtId="0" fontId="0" fillId="0" borderId="0" xfId="0" applyFill="1" applyAlignment="1">
      <alignment wrapText="1"/>
    </xf>
    <xf numFmtId="0" fontId="0" fillId="2" borderId="34" xfId="0" applyFill="1" applyBorder="1" applyAlignment="1">
      <alignment wrapText="1"/>
    </xf>
    <xf numFmtId="0" fontId="0" fillId="0" borderId="0" xfId="0"/>
    <xf numFmtId="0" fontId="0" fillId="2" borderId="18" xfId="0" applyFill="1" applyBorder="1" applyAlignment="1">
      <alignment wrapText="1"/>
    </xf>
    <xf numFmtId="0" fontId="0" fillId="2" borderId="18" xfId="0" applyFill="1" applyBorder="1"/>
    <xf numFmtId="0" fontId="0" fillId="2" borderId="0" xfId="0" applyFill="1"/>
    <xf numFmtId="0" fontId="7" fillId="0" borderId="0" xfId="0" applyFont="1" applyAlignment="1">
      <alignment horizontal="left" indent="1"/>
    </xf>
    <xf numFmtId="0" fontId="0" fillId="0" borderId="0" xfId="0"/>
    <xf numFmtId="4" fontId="0" fillId="0" borderId="0" xfId="0" applyNumberFormat="1" applyFill="1"/>
    <xf numFmtId="0" fontId="2" fillId="0" borderId="0" xfId="0" applyFont="1" applyFill="1" applyAlignment="1"/>
    <xf numFmtId="0" fontId="2" fillId="0" borderId="34" xfId="0" applyFont="1" applyFill="1" applyBorder="1" applyAlignment="1"/>
    <xf numFmtId="0" fontId="2" fillId="0" borderId="34" xfId="0" applyFont="1" applyFill="1" applyBorder="1"/>
    <xf numFmtId="0" fontId="0" fillId="0" borderId="0" xfId="0" applyFill="1" applyAlignment="1">
      <alignment horizontal="left" wrapText="1" indent="1"/>
    </xf>
    <xf numFmtId="0" fontId="0" fillId="0" borderId="18" xfId="0" applyFill="1" applyBorder="1" applyAlignment="1">
      <alignment wrapText="1"/>
    </xf>
    <xf numFmtId="0" fontId="0" fillId="0" borderId="18" xfId="0" applyFill="1" applyBorder="1"/>
    <xf numFmtId="10" fontId="0" fillId="0" borderId="18" xfId="0" applyNumberFormat="1" applyFill="1" applyBorder="1"/>
    <xf numFmtId="0" fontId="7" fillId="0" borderId="0" xfId="0" applyFont="1" applyFill="1" applyAlignment="1"/>
    <xf numFmtId="10" fontId="0" fillId="0" borderId="0" xfId="0" applyNumberFormat="1" applyFill="1"/>
    <xf numFmtId="0" fontId="0" fillId="0" borderId="5" xfId="0" applyFill="1" applyBorder="1" applyAlignment="1">
      <alignment wrapText="1"/>
    </xf>
    <xf numFmtId="0" fontId="0" fillId="0" borderId="5" xfId="0" applyFill="1" applyBorder="1"/>
    <xf numFmtId="3" fontId="0" fillId="0" borderId="5" xfId="0" applyNumberFormat="1" applyFill="1" applyBorder="1"/>
    <xf numFmtId="3" fontId="0" fillId="0" borderId="5" xfId="0" applyNumberFormat="1" applyFill="1" applyBorder="1" applyAlignment="1">
      <alignment horizontal="right"/>
    </xf>
    <xf numFmtId="0" fontId="0" fillId="0" borderId="32" xfId="0" applyFill="1" applyBorder="1" applyAlignment="1">
      <alignment wrapText="1"/>
    </xf>
    <xf numFmtId="10" fontId="0" fillId="0" borderId="32" xfId="0" applyNumberFormat="1" applyFill="1" applyBorder="1"/>
    <xf numFmtId="0" fontId="0" fillId="0" borderId="0" xfId="0" applyFill="1" applyBorder="1" applyAlignment="1">
      <alignment wrapText="1"/>
    </xf>
    <xf numFmtId="10" fontId="0" fillId="0" borderId="0" xfId="0" applyNumberFormat="1" applyFill="1" applyBorder="1"/>
    <xf numFmtId="0" fontId="2" fillId="0" borderId="18" xfId="0" applyFont="1" applyFill="1" applyBorder="1" applyAlignment="1">
      <alignment wrapText="1"/>
    </xf>
    <xf numFmtId="166" fontId="2" fillId="0" borderId="18" xfId="0" applyNumberFormat="1" applyFont="1" applyFill="1" applyBorder="1"/>
    <xf numFmtId="0" fontId="0" fillId="0" borderId="15" xfId="0" applyFill="1" applyBorder="1" applyAlignment="1">
      <alignment wrapText="1"/>
    </xf>
    <xf numFmtId="0" fontId="0" fillId="0" borderId="15" xfId="0" applyFill="1" applyBorder="1" applyAlignment="1">
      <alignment horizontal="center" vertical="center"/>
    </xf>
    <xf numFmtId="4" fontId="0" fillId="0" borderId="15" xfId="0" applyNumberFormat="1" applyFill="1" applyBorder="1"/>
    <xf numFmtId="4" fontId="0" fillId="0" borderId="28" xfId="0" applyNumberFormat="1" applyFill="1" applyBorder="1"/>
    <xf numFmtId="4" fontId="0" fillId="0" borderId="33" xfId="0" applyNumberFormat="1" applyFill="1" applyBorder="1"/>
    <xf numFmtId="173" fontId="0" fillId="0" borderId="0" xfId="0" applyNumberFormat="1" applyFill="1"/>
    <xf numFmtId="173" fontId="0" fillId="0" borderId="69" xfId="0" applyNumberFormat="1" applyFill="1" applyBorder="1"/>
    <xf numFmtId="0" fontId="32" fillId="0" borderId="0" xfId="5" applyFill="1" applyBorder="1" applyAlignment="1">
      <alignment horizontal="left" indent="1"/>
    </xf>
    <xf numFmtId="0" fontId="32" fillId="0" borderId="0" xfId="5" applyAlignment="1">
      <alignment horizontal="left" indent="1"/>
    </xf>
    <xf numFmtId="179" fontId="0" fillId="0" borderId="0" xfId="0" applyNumberFormat="1"/>
    <xf numFmtId="170" fontId="8" fillId="0" borderId="22" xfId="0" applyNumberFormat="1" applyFont="1" applyFill="1" applyBorder="1"/>
    <xf numFmtId="2" fontId="8" fillId="1" borderId="22" xfId="0" applyNumberFormat="1" applyFont="1" applyFill="1" applyBorder="1"/>
    <xf numFmtId="0" fontId="27" fillId="2" borderId="1" xfId="0" applyFont="1" applyFill="1" applyBorder="1" applyAlignment="1">
      <alignment horizontal="right" shrinkToFit="1"/>
    </xf>
    <xf numFmtId="10" fontId="7" fillId="0" borderId="0" xfId="4" applyNumberFormat="1" applyFont="1" applyFill="1" applyBorder="1" applyAlignment="1">
      <alignment horizontal="right"/>
    </xf>
    <xf numFmtId="10" fontId="7" fillId="0" borderId="1" xfId="4" applyNumberFormat="1" applyFont="1" applyFill="1" applyBorder="1" applyAlignment="1">
      <alignment horizontal="right"/>
    </xf>
    <xf numFmtId="0" fontId="7" fillId="2" borderId="1" xfId="4" applyFont="1" applyFill="1" applyBorder="1" applyAlignment="1">
      <alignment horizontal="left" wrapText="1" indent="1"/>
    </xf>
    <xf numFmtId="0" fontId="0" fillId="0" borderId="0" xfId="0" applyFont="1" applyAlignment="1">
      <alignment wrapText="1"/>
    </xf>
    <xf numFmtId="173" fontId="0" fillId="0" borderId="70" xfId="0" applyNumberFormat="1" applyFill="1" applyBorder="1"/>
    <xf numFmtId="0" fontId="5" fillId="2" borderId="64" xfId="1" applyFont="1" applyFill="1" applyBorder="1" applyAlignment="1">
      <alignment vertical="center"/>
    </xf>
    <xf numFmtId="0" fontId="37" fillId="0" borderId="0" xfId="0" applyFont="1"/>
    <xf numFmtId="0" fontId="38" fillId="2" borderId="15" xfId="0" applyFont="1" applyFill="1" applyBorder="1" applyAlignment="1">
      <alignment horizontal="center"/>
    </xf>
    <xf numFmtId="0" fontId="0" fillId="2" borderId="11" xfId="0" applyFont="1" applyFill="1" applyBorder="1" applyAlignment="1">
      <alignment horizontal="left" vertical="center" wrapText="1"/>
    </xf>
    <xf numFmtId="0" fontId="1" fillId="2" borderId="15" xfId="0" applyFont="1" applyFill="1" applyBorder="1" applyAlignment="1">
      <alignment horizontal="center"/>
    </xf>
    <xf numFmtId="0" fontId="37" fillId="0" borderId="0" xfId="0" applyFont="1" applyBorder="1" applyAlignment="1">
      <alignment vertical="top" wrapText="1"/>
    </xf>
    <xf numFmtId="0" fontId="0" fillId="0" borderId="0" xfId="0" applyAlignment="1">
      <alignment wrapText="1"/>
    </xf>
    <xf numFmtId="0" fontId="0" fillId="2" borderId="20" xfId="0" applyFont="1" applyFill="1" applyBorder="1" applyAlignment="1">
      <alignment horizontal="center"/>
    </xf>
    <xf numFmtId="170" fontId="1" fillId="12" borderId="1" xfId="0" applyNumberFormat="1" applyFont="1" applyFill="1" applyBorder="1"/>
    <xf numFmtId="0" fontId="0" fillId="0" borderId="0" xfId="0" applyFont="1" applyAlignment="1">
      <alignment horizontal="left" indent="1"/>
    </xf>
    <xf numFmtId="170" fontId="0" fillId="0" borderId="26" xfId="0" applyNumberFormat="1" applyBorder="1"/>
    <xf numFmtId="0" fontId="7" fillId="0" borderId="0" xfId="0" applyFont="1" applyFill="1" applyBorder="1"/>
    <xf numFmtId="0" fontId="38" fillId="2" borderId="15" xfId="0" applyFont="1" applyFill="1" applyBorder="1" applyAlignment="1">
      <alignment horizontal="right"/>
    </xf>
    <xf numFmtId="14" fontId="38" fillId="2" borderId="1" xfId="0" applyNumberFormat="1" applyFont="1" applyFill="1" applyBorder="1" applyAlignment="1">
      <alignment horizontal="center"/>
    </xf>
    <xf numFmtId="165" fontId="0" fillId="0" borderId="1" xfId="0" applyNumberFormat="1" applyFont="1" applyFill="1" applyBorder="1" applyAlignment="1"/>
    <xf numFmtId="0" fontId="1" fillId="2" borderId="2" xfId="0" applyFont="1" applyFill="1" applyBorder="1" applyAlignment="1">
      <alignment horizontal="left"/>
    </xf>
    <xf numFmtId="0" fontId="38" fillId="2" borderId="2" xfId="0" applyFont="1" applyFill="1" applyBorder="1" applyAlignment="1">
      <alignment horizontal="left"/>
    </xf>
    <xf numFmtId="0" fontId="38" fillId="2" borderId="20" xfId="0" applyFont="1" applyFill="1" applyBorder="1" applyAlignment="1">
      <alignment horizontal="center"/>
    </xf>
    <xf numFmtId="0" fontId="1" fillId="2" borderId="1" xfId="0" applyFont="1" applyFill="1" applyBorder="1" applyAlignment="1">
      <alignment horizontal="left"/>
    </xf>
    <xf numFmtId="0" fontId="38" fillId="2" borderId="1" xfId="0" applyFont="1" applyFill="1" applyBorder="1" applyAlignment="1">
      <alignment horizontal="left"/>
    </xf>
    <xf numFmtId="0" fontId="0" fillId="0" borderId="0" xfId="0"/>
    <xf numFmtId="0" fontId="7" fillId="0" borderId="0" xfId="0" applyFont="1" applyAlignment="1">
      <alignment wrapText="1"/>
    </xf>
    <xf numFmtId="0" fontId="0" fillId="0" borderId="0" xfId="0" applyFont="1" applyAlignment="1">
      <alignment wrapText="1"/>
    </xf>
    <xf numFmtId="0" fontId="0" fillId="0" borderId="0" xfId="0"/>
    <xf numFmtId="0" fontId="8"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2" xfId="0" applyFont="1" applyFill="1" applyBorder="1"/>
    <xf numFmtId="170" fontId="30" fillId="0" borderId="1" xfId="0" applyNumberFormat="1" applyFont="1" applyFill="1" applyBorder="1"/>
    <xf numFmtId="170" fontId="30" fillId="0" borderId="75" xfId="0" applyNumberFormat="1" applyFont="1" applyFill="1" applyBorder="1"/>
    <xf numFmtId="170" fontId="30" fillId="0" borderId="76" xfId="0" applyNumberFormat="1" applyFont="1" applyFill="1" applyBorder="1"/>
    <xf numFmtId="170" fontId="30" fillId="0" borderId="3" xfId="0" applyNumberFormat="1" applyFont="1" applyFill="1" applyBorder="1"/>
    <xf numFmtId="0" fontId="0" fillId="0" borderId="0" xfId="0"/>
    <xf numFmtId="0" fontId="2" fillId="2" borderId="18" xfId="0" applyFont="1" applyFill="1" applyBorder="1"/>
    <xf numFmtId="0" fontId="2" fillId="2" borderId="35" xfId="0" applyFont="1" applyFill="1" applyBorder="1" applyAlignment="1">
      <alignment horizontal="center"/>
    </xf>
    <xf numFmtId="0" fontId="0" fillId="0" borderId="57" xfId="0" applyBorder="1" applyAlignment="1">
      <alignment horizontal="center"/>
    </xf>
    <xf numFmtId="0" fontId="0" fillId="7" borderId="0" xfId="0" applyFill="1"/>
    <xf numFmtId="9" fontId="0" fillId="0" borderId="0" xfId="0" applyNumberFormat="1"/>
    <xf numFmtId="0" fontId="0" fillId="0" borderId="0" xfId="0" applyAlignment="1">
      <alignment horizontal="left" wrapText="1"/>
    </xf>
    <xf numFmtId="0" fontId="0" fillId="0" borderId="0" xfId="0"/>
    <xf numFmtId="0" fontId="2" fillId="0" borderId="0" xfId="0" applyFont="1" applyAlignment="1">
      <alignment wrapText="1"/>
    </xf>
    <xf numFmtId="0" fontId="0" fillId="0" borderId="0" xfId="0" applyAlignment="1">
      <alignment horizontal="left"/>
    </xf>
    <xf numFmtId="0" fontId="2" fillId="0" borderId="0" xfId="0" applyFont="1" applyAlignment="1">
      <alignment horizontal="left"/>
    </xf>
    <xf numFmtId="3" fontId="0" fillId="7" borderId="0" xfId="0" applyNumberFormat="1" applyFill="1"/>
    <xf numFmtId="9" fontId="0" fillId="7" borderId="0" xfId="0" applyNumberFormat="1" applyFill="1"/>
    <xf numFmtId="9" fontId="0" fillId="0" borderId="0" xfId="6" applyFont="1"/>
    <xf numFmtId="0" fontId="0" fillId="0" borderId="57" xfId="0" applyFill="1" applyBorder="1" applyAlignment="1">
      <alignment horizontal="center"/>
    </xf>
    <xf numFmtId="0" fontId="41" fillId="0" borderId="0" xfId="0" applyFont="1"/>
    <xf numFmtId="0" fontId="0" fillId="7" borderId="0" xfId="0" applyFill="1"/>
    <xf numFmtId="0" fontId="0" fillId="0" borderId="0" xfId="0"/>
    <xf numFmtId="1" fontId="0" fillId="7" borderId="0" xfId="0" applyNumberFormat="1" applyFill="1"/>
    <xf numFmtId="172" fontId="0" fillId="0" borderId="0" xfId="6" applyNumberFormat="1" applyFont="1"/>
    <xf numFmtId="0" fontId="0" fillId="0" borderId="0" xfId="0"/>
    <xf numFmtId="0" fontId="2" fillId="0" borderId="0" xfId="0" applyFont="1" applyAlignment="1">
      <alignment horizontal="left" indent="1"/>
    </xf>
    <xf numFmtId="0" fontId="0" fillId="0" borderId="0" xfId="0" applyAlignment="1">
      <alignment horizontal="left" indent="2"/>
    </xf>
    <xf numFmtId="0" fontId="0" fillId="0" borderId="57" xfId="0" applyBorder="1" applyAlignment="1"/>
    <xf numFmtId="0" fontId="0" fillId="0" borderId="0" xfId="0" applyAlignment="1"/>
    <xf numFmtId="0" fontId="42" fillId="0" borderId="0" xfId="0" applyFont="1" applyAlignment="1"/>
    <xf numFmtId="180" fontId="0" fillId="0" borderId="0" xfId="0" applyNumberFormat="1"/>
    <xf numFmtId="4" fontId="42" fillId="0" borderId="0" xfId="0" applyNumberFormat="1" applyFont="1"/>
    <xf numFmtId="0" fontId="2" fillId="0" borderId="57" xfId="0" applyFont="1" applyFill="1" applyBorder="1" applyAlignment="1">
      <alignment horizontal="center"/>
    </xf>
    <xf numFmtId="0" fontId="2" fillId="2" borderId="50" xfId="0" applyFont="1" applyFill="1" applyBorder="1"/>
    <xf numFmtId="0" fontId="2" fillId="2" borderId="21" xfId="0" applyFont="1" applyFill="1" applyBorder="1" applyAlignment="1">
      <alignment horizontal="center"/>
    </xf>
    <xf numFmtId="0" fontId="0" fillId="0" borderId="0" xfId="0"/>
    <xf numFmtId="0" fontId="0" fillId="2" borderId="0" xfId="0" applyFill="1"/>
    <xf numFmtId="0" fontId="42" fillId="0" borderId="0" xfId="0" applyFont="1"/>
    <xf numFmtId="181" fontId="0" fillId="0" borderId="0" xfId="0" applyNumberFormat="1"/>
    <xf numFmtId="4" fontId="47" fillId="2" borderId="0" xfId="0" applyNumberFormat="1" applyFont="1" applyFill="1"/>
    <xf numFmtId="4" fontId="41" fillId="0" borderId="0" xfId="0" applyNumberFormat="1" applyFont="1"/>
    <xf numFmtId="180" fontId="2" fillId="0" borderId="0" xfId="0" applyNumberFormat="1" applyFont="1"/>
    <xf numFmtId="0" fontId="0" fillId="0" borderId="57" xfId="0" applyBorder="1"/>
    <xf numFmtId="0" fontId="0" fillId="0" borderId="0" xfId="0"/>
    <xf numFmtId="180" fontId="0" fillId="0" borderId="0" xfId="0" applyNumberFormat="1" applyFill="1"/>
    <xf numFmtId="0" fontId="50" fillId="2" borderId="0" xfId="0" applyFont="1" applyFill="1"/>
    <xf numFmtId="0" fontId="51" fillId="2" borderId="0" xfId="0" applyFont="1" applyFill="1"/>
    <xf numFmtId="0" fontId="49" fillId="2" borderId="0" xfId="0" applyFont="1" applyFill="1"/>
    <xf numFmtId="0" fontId="52" fillId="2" borderId="0" xfId="0" applyFont="1" applyFill="1"/>
    <xf numFmtId="0" fontId="0" fillId="7" borderId="0" xfId="0" applyFill="1"/>
    <xf numFmtId="0" fontId="0" fillId="0" borderId="0" xfId="0"/>
    <xf numFmtId="0" fontId="0" fillId="7" borderId="0" xfId="0" applyFill="1"/>
    <xf numFmtId="0" fontId="0" fillId="0" borderId="0" xfId="0"/>
    <xf numFmtId="0" fontId="0" fillId="2" borderId="0" xfId="0" applyFill="1"/>
    <xf numFmtId="4" fontId="30" fillId="13" borderId="0" xfId="0" applyNumberFormat="1" applyFont="1" applyFill="1"/>
    <xf numFmtId="2" fontId="0" fillId="13" borderId="0" xfId="0" applyNumberFormat="1" applyFill="1"/>
    <xf numFmtId="182" fontId="30" fillId="13" borderId="0" xfId="0" applyNumberFormat="1" applyFont="1" applyFill="1"/>
    <xf numFmtId="0" fontId="0" fillId="7" borderId="0" xfId="0" applyFill="1"/>
    <xf numFmtId="0" fontId="0" fillId="0" borderId="0" xfId="0" applyAlignment="1">
      <alignment horizontal="left" wrapText="1" indent="1"/>
    </xf>
    <xf numFmtId="0" fontId="0" fillId="0" borderId="0" xfId="0"/>
    <xf numFmtId="4" fontId="0" fillId="7" borderId="0" xfId="0" applyNumberFormat="1" applyFill="1"/>
    <xf numFmtId="2" fontId="0" fillId="0" borderId="0" xfId="0" applyNumberFormat="1" applyFill="1"/>
    <xf numFmtId="9" fontId="0" fillId="0" borderId="0" xfId="0" applyNumberFormat="1" applyFill="1"/>
    <xf numFmtId="0" fontId="2" fillId="2" borderId="0" xfId="0" applyFont="1" applyFill="1" applyAlignment="1">
      <alignment horizontal="left"/>
    </xf>
    <xf numFmtId="0" fontId="0" fillId="7" borderId="0" xfId="0" applyFill="1"/>
    <xf numFmtId="0" fontId="0" fillId="0" borderId="0" xfId="0"/>
    <xf numFmtId="9" fontId="0" fillId="7" borderId="0" xfId="6" applyFont="1" applyFill="1"/>
    <xf numFmtId="4" fontId="2" fillId="2" borderId="0" xfId="0" applyNumberFormat="1" applyFont="1" applyFill="1"/>
    <xf numFmtId="0" fontId="0" fillId="0" borderId="0" xfId="0" applyFont="1" applyAlignment="1">
      <alignment horizontal="left" indent="2"/>
    </xf>
    <xf numFmtId="0" fontId="0" fillId="7" borderId="0" xfId="0" applyFill="1"/>
    <xf numFmtId="0" fontId="0" fillId="0" borderId="0" xfId="0"/>
    <xf numFmtId="0" fontId="0" fillId="2" borderId="0" xfId="0" applyFill="1"/>
    <xf numFmtId="1" fontId="32" fillId="0" borderId="0" xfId="5" applyNumberFormat="1" applyFill="1"/>
    <xf numFmtId="0" fontId="32" fillId="0" borderId="0" xfId="5" applyFill="1"/>
    <xf numFmtId="1" fontId="2" fillId="2" borderId="0" xfId="0" applyNumberFormat="1" applyFont="1" applyFill="1"/>
    <xf numFmtId="4" fontId="8" fillId="13" borderId="0" xfId="0" applyNumberFormat="1" applyFont="1" applyFill="1"/>
    <xf numFmtId="2" fontId="0" fillId="0" borderId="0" xfId="0" applyNumberFormat="1" applyFont="1"/>
    <xf numFmtId="2" fontId="0" fillId="0" borderId="0" xfId="0" applyNumberFormat="1" applyFont="1" applyFill="1"/>
    <xf numFmtId="0" fontId="54" fillId="2" borderId="0" xfId="0" applyFont="1" applyFill="1"/>
    <xf numFmtId="0" fontId="49" fillId="2" borderId="0" xfId="0" applyFont="1" applyFill="1" applyAlignment="1">
      <alignment horizontal="left" indent="1"/>
    </xf>
    <xf numFmtId="0" fontId="8" fillId="0" borderId="0" xfId="0" applyFont="1"/>
    <xf numFmtId="0" fontId="55" fillId="8" borderId="0" xfId="0" applyFont="1" applyFill="1"/>
    <xf numFmtId="0" fontId="0" fillId="0" borderId="0" xfId="0"/>
    <xf numFmtId="0" fontId="0" fillId="2" borderId="0" xfId="0" applyFill="1"/>
    <xf numFmtId="0" fontId="0" fillId="0" borderId="0" xfId="0"/>
    <xf numFmtId="0" fontId="0" fillId="2" borderId="0" xfId="0" applyFill="1"/>
    <xf numFmtId="0" fontId="0" fillId="7" borderId="0" xfId="0" applyFill="1"/>
    <xf numFmtId="0" fontId="0" fillId="0" borderId="0" xfId="0" applyAlignment="1">
      <alignment wrapText="1"/>
    </xf>
    <xf numFmtId="0" fontId="0" fillId="0" borderId="0" xfId="0"/>
    <xf numFmtId="4" fontId="2" fillId="0" borderId="0" xfId="0" applyNumberFormat="1" applyFont="1"/>
    <xf numFmtId="0" fontId="0" fillId="0" borderId="0" xfId="0"/>
    <xf numFmtId="173" fontId="0" fillId="0" borderId="3" xfId="0" applyNumberFormat="1" applyBorder="1"/>
    <xf numFmtId="173" fontId="7" fillId="0" borderId="1" xfId="0" applyNumberFormat="1" applyFont="1" applyBorder="1" applyAlignment="1">
      <alignment vertical="center"/>
    </xf>
    <xf numFmtId="173" fontId="0" fillId="0" borderId="1" xfId="0" applyNumberFormat="1" applyFont="1" applyBorder="1" applyAlignment="1"/>
    <xf numFmtId="0" fontId="1" fillId="2" borderId="18" xfId="0" applyFont="1" applyFill="1" applyBorder="1" applyAlignment="1">
      <alignment horizontal="left"/>
    </xf>
    <xf numFmtId="0" fontId="1" fillId="2" borderId="18" xfId="0" applyFont="1" applyFill="1" applyBorder="1" applyAlignment="1">
      <alignment horizontal="center"/>
    </xf>
    <xf numFmtId="0" fontId="0" fillId="2" borderId="18" xfId="0" applyFont="1" applyFill="1" applyBorder="1" applyAlignment="1">
      <alignment horizontal="center"/>
    </xf>
    <xf numFmtId="0" fontId="0" fillId="7" borderId="0" xfId="0" applyFill="1"/>
    <xf numFmtId="0" fontId="0" fillId="0" borderId="0" xfId="0"/>
    <xf numFmtId="1" fontId="0" fillId="0" borderId="0" xfId="0" applyNumberFormat="1"/>
    <xf numFmtId="9" fontId="2" fillId="0" borderId="0" xfId="6" applyFont="1" applyFill="1" applyBorder="1"/>
    <xf numFmtId="1" fontId="0" fillId="0" borderId="0" xfId="0" applyNumberFormat="1" applyFill="1"/>
    <xf numFmtId="0" fontId="0" fillId="0" borderId="0" xfId="0"/>
    <xf numFmtId="0" fontId="62" fillId="0" borderId="0" xfId="0" applyFont="1" applyFill="1" applyBorder="1"/>
    <xf numFmtId="0" fontId="0" fillId="14" borderId="0" xfId="0" applyFill="1"/>
    <xf numFmtId="0" fontId="63" fillId="0" borderId="0" xfId="0" applyFont="1" applyAlignment="1">
      <alignment horizontal="right"/>
    </xf>
    <xf numFmtId="0" fontId="63" fillId="0" borderId="0" xfId="0" applyFont="1"/>
    <xf numFmtId="0" fontId="64" fillId="0" borderId="0" xfId="0" applyFont="1"/>
    <xf numFmtId="0" fontId="0" fillId="2" borderId="0" xfId="0" applyFont="1" applyFill="1" applyAlignment="1">
      <alignment horizontal="center" vertical="center" wrapText="1"/>
    </xf>
    <xf numFmtId="0" fontId="0" fillId="7" borderId="0" xfId="0" applyFill="1"/>
    <xf numFmtId="0" fontId="0" fillId="2" borderId="0" xfId="0" applyFill="1" applyAlignment="1">
      <alignment wrapText="1"/>
    </xf>
    <xf numFmtId="168" fontId="2" fillId="2" borderId="50" xfId="0" applyNumberFormat="1" applyFont="1" applyFill="1" applyBorder="1" applyAlignment="1">
      <alignment horizontal="center" vertical="center"/>
    </xf>
    <xf numFmtId="168" fontId="2" fillId="2" borderId="21" xfId="0" applyNumberFormat="1" applyFont="1" applyFill="1" applyBorder="1" applyAlignment="1">
      <alignment horizontal="center" vertical="center"/>
    </xf>
    <xf numFmtId="168" fontId="2" fillId="2" borderId="51" xfId="0" applyNumberFormat="1" applyFont="1" applyFill="1" applyBorder="1" applyAlignment="1">
      <alignment horizontal="center" vertical="center"/>
    </xf>
    <xf numFmtId="168" fontId="2" fillId="2" borderId="56" xfId="0" applyNumberFormat="1" applyFont="1" applyFill="1" applyBorder="1" applyAlignment="1">
      <alignment horizontal="center" vertical="center"/>
    </xf>
    <xf numFmtId="168" fontId="2" fillId="2" borderId="0" xfId="0" applyNumberFormat="1" applyFont="1" applyFill="1" applyBorder="1" applyAlignment="1">
      <alignment horizontal="center" vertical="center"/>
    </xf>
    <xf numFmtId="168" fontId="2" fillId="2" borderId="57" xfId="0" applyNumberFormat="1" applyFont="1" applyFill="1" applyBorder="1" applyAlignment="1">
      <alignment horizontal="center" vertical="center"/>
    </xf>
    <xf numFmtId="168" fontId="2" fillId="2" borderId="64" xfId="0" applyNumberFormat="1" applyFont="1" applyFill="1" applyBorder="1" applyAlignment="1">
      <alignment horizontal="center" vertical="center"/>
    </xf>
    <xf numFmtId="168" fontId="2" fillId="2" borderId="18" xfId="0" applyNumberFormat="1" applyFont="1" applyFill="1" applyBorder="1" applyAlignment="1">
      <alignment horizontal="center" vertical="center"/>
    </xf>
    <xf numFmtId="168" fontId="2" fillId="2" borderId="35" xfId="0" applyNumberFormat="1" applyFont="1" applyFill="1" applyBorder="1" applyAlignment="1">
      <alignment horizontal="center" vertical="center"/>
    </xf>
    <xf numFmtId="0" fontId="46" fillId="2" borderId="56" xfId="0" applyFont="1" applyFill="1" applyBorder="1" applyAlignment="1">
      <alignment horizontal="center" vertical="center" wrapText="1"/>
    </xf>
    <xf numFmtId="0" fontId="46" fillId="2" borderId="64" xfId="0" applyFont="1" applyFill="1" applyBorder="1" applyAlignment="1">
      <alignment horizontal="center" vertical="center" wrapText="1"/>
    </xf>
    <xf numFmtId="0" fontId="46" fillId="2" borderId="57"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7" fillId="0" borderId="0" xfId="0" applyFont="1" applyFill="1" applyAlignment="1">
      <alignment wrapText="1"/>
    </xf>
    <xf numFmtId="0" fontId="0" fillId="0" borderId="0" xfId="0" applyAlignment="1">
      <alignment wrapText="1"/>
    </xf>
    <xf numFmtId="0" fontId="0" fillId="0" borderId="0" xfId="0" applyFill="1" applyBorder="1" applyAlignment="1">
      <alignment wrapText="1"/>
    </xf>
    <xf numFmtId="0" fontId="39" fillId="0" borderId="0" xfId="0" applyFont="1" applyFill="1" applyAlignment="1">
      <alignment wrapText="1"/>
    </xf>
    <xf numFmtId="0" fontId="7" fillId="0" borderId="0" xfId="0" applyFont="1" applyAlignment="1">
      <alignment wrapText="1"/>
    </xf>
    <xf numFmtId="0" fontId="0" fillId="0" borderId="0" xfId="0" applyFont="1" applyAlignment="1">
      <alignment wrapText="1"/>
    </xf>
    <xf numFmtId="0" fontId="0" fillId="0" borderId="18" xfId="0" applyBorder="1" applyAlignment="1">
      <alignment wrapText="1"/>
    </xf>
    <xf numFmtId="0" fontId="0" fillId="0" borderId="0" xfId="0" applyFont="1" applyFill="1" applyBorder="1" applyAlignment="1">
      <alignment wrapText="1"/>
    </xf>
    <xf numFmtId="0" fontId="0" fillId="0" borderId="18" xfId="0" applyFont="1" applyFill="1" applyBorder="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18" xfId="0" applyFont="1" applyBorder="1" applyAlignment="1">
      <alignment wrapText="1"/>
    </xf>
    <xf numFmtId="0" fontId="0" fillId="0" borderId="0" xfId="0" applyFont="1" applyFill="1" applyBorder="1" applyAlignment="1">
      <alignment vertical="center" wrapText="1"/>
    </xf>
    <xf numFmtId="0" fontId="0" fillId="0" borderId="0" xfId="0"/>
    <xf numFmtId="0" fontId="2" fillId="0" borderId="71" xfId="0" applyFont="1" applyBorder="1" applyAlignment="1">
      <alignment horizontal="center" wrapText="1"/>
    </xf>
    <xf numFmtId="0" fontId="2" fillId="0" borderId="32" xfId="0" applyFont="1" applyBorder="1" applyAlignment="1">
      <alignment horizontal="center" wrapText="1"/>
    </xf>
    <xf numFmtId="0" fontId="2" fillId="0" borderId="72" xfId="0" applyFont="1" applyBorder="1" applyAlignment="1">
      <alignment horizontal="center" wrapText="1"/>
    </xf>
    <xf numFmtId="0" fontId="2" fillId="0" borderId="73" xfId="0" applyFont="1" applyBorder="1" applyAlignment="1">
      <alignment horizontal="center" wrapText="1"/>
    </xf>
    <xf numFmtId="0" fontId="2" fillId="0" borderId="18" xfId="0" applyFont="1" applyBorder="1" applyAlignment="1">
      <alignment horizontal="center" wrapText="1"/>
    </xf>
    <xf numFmtId="0" fontId="2" fillId="0" borderId="74" xfId="0" applyFont="1" applyBorder="1" applyAlignment="1">
      <alignment horizontal="center" wrapText="1"/>
    </xf>
    <xf numFmtId="0" fontId="0" fillId="2" borderId="29"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2" fillId="0" borderId="2" xfId="0" applyFont="1" applyFill="1" applyBorder="1" applyAlignment="1">
      <alignment horizontal="right" wrapText="1"/>
    </xf>
    <xf numFmtId="0" fontId="2" fillId="0" borderId="20" xfId="0" applyFont="1" applyFill="1" applyBorder="1" applyAlignment="1">
      <alignment horizontal="right" wrapText="1"/>
    </xf>
    <xf numFmtId="0" fontId="0" fillId="0" borderId="21" xfId="0" applyFont="1" applyFill="1" applyBorder="1" applyAlignment="1">
      <alignment vertical="top" wrapText="1"/>
    </xf>
    <xf numFmtId="0" fontId="0" fillId="0" borderId="0" xfId="0" applyFont="1" applyFill="1" applyBorder="1" applyAlignment="1">
      <alignment vertical="top" wrapText="1"/>
    </xf>
    <xf numFmtId="0" fontId="2" fillId="0" borderId="36" xfId="0" applyFont="1" applyBorder="1" applyAlignment="1">
      <alignment horizontal="center" wrapText="1"/>
    </xf>
    <xf numFmtId="0" fontId="2" fillId="0" borderId="15" xfId="0" applyFont="1" applyBorder="1" applyAlignment="1">
      <alignment horizontal="center" wrapText="1"/>
    </xf>
    <xf numFmtId="0" fontId="2" fillId="0" borderId="37" xfId="0" applyFont="1" applyBorder="1" applyAlignment="1">
      <alignment horizontal="center" wrapText="1"/>
    </xf>
    <xf numFmtId="0" fontId="0" fillId="0" borderId="0" xfId="0" applyFill="1" applyAlignment="1">
      <alignmen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168" fontId="0" fillId="0" borderId="67" xfId="0" applyNumberFormat="1" applyFont="1" applyFill="1" applyBorder="1" applyAlignment="1">
      <alignment horizontal="left" wrapText="1"/>
    </xf>
    <xf numFmtId="168" fontId="0" fillId="0" borderId="0" xfId="0" applyNumberFormat="1" applyFont="1" applyFill="1" applyBorder="1" applyAlignment="1">
      <alignment horizontal="left" wrapText="1"/>
    </xf>
    <xf numFmtId="0" fontId="0" fillId="0" borderId="0" xfId="0" applyBorder="1" applyAlignment="1">
      <alignment wrapText="1"/>
    </xf>
    <xf numFmtId="0" fontId="0" fillId="0" borderId="34" xfId="0" applyBorder="1" applyAlignment="1">
      <alignment wrapText="1"/>
    </xf>
    <xf numFmtId="168" fontId="0" fillId="0" borderId="0" xfId="0" applyNumberFormat="1" applyAlignment="1">
      <alignment wrapText="1"/>
    </xf>
    <xf numFmtId="168" fontId="0" fillId="0" borderId="34" xfId="0" applyNumberFormat="1" applyBorder="1" applyAlignment="1">
      <alignment wrapText="1"/>
    </xf>
    <xf numFmtId="0" fontId="0" fillId="0" borderId="0" xfId="0" applyFont="1" applyBorder="1" applyAlignment="1">
      <alignment vertical="top" wrapText="1"/>
    </xf>
    <xf numFmtId="0" fontId="0" fillId="0" borderId="0" xfId="0" applyAlignment="1">
      <alignment horizontal="left" wrapText="1" indent="1"/>
    </xf>
    <xf numFmtId="0" fontId="2" fillId="0" borderId="0" xfId="0" applyFont="1" applyAlignment="1">
      <alignment wrapText="1"/>
    </xf>
    <xf numFmtId="0" fontId="0" fillId="2" borderId="0" xfId="0" applyFill="1" applyBorder="1" applyAlignment="1">
      <alignment wrapText="1"/>
    </xf>
    <xf numFmtId="0" fontId="0" fillId="2" borderId="34" xfId="0" applyFill="1" applyBorder="1" applyAlignment="1">
      <alignment wrapText="1"/>
    </xf>
    <xf numFmtId="0" fontId="0" fillId="2" borderId="0" xfId="0" applyFill="1"/>
    <xf numFmtId="0" fontId="0" fillId="2" borderId="34" xfId="0" applyFill="1" applyBorder="1"/>
    <xf numFmtId="0" fontId="0" fillId="2" borderId="2" xfId="0" applyFill="1" applyBorder="1" applyAlignment="1">
      <alignment horizontal="center" vertical="top" wrapText="1"/>
    </xf>
    <xf numFmtId="0" fontId="0" fillId="2" borderId="15" xfId="0" applyFill="1" applyBorder="1" applyAlignment="1">
      <alignment horizontal="center" vertical="top" wrapText="1"/>
    </xf>
    <xf numFmtId="0" fontId="0" fillId="2" borderId="20" xfId="0" applyFill="1" applyBorder="1" applyAlignment="1">
      <alignment horizontal="center" vertical="top" wrapText="1"/>
    </xf>
    <xf numFmtId="0" fontId="30" fillId="3" borderId="29" xfId="0" applyFont="1" applyFill="1" applyBorder="1" applyAlignment="1">
      <alignment horizontal="center" vertical="center"/>
    </xf>
    <xf numFmtId="0" fontId="30" fillId="3" borderId="16"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11"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0" fillId="0" borderId="21" xfId="0" applyBorder="1" applyAlignment="1">
      <alignment wrapText="1"/>
    </xf>
    <xf numFmtId="0" fontId="1" fillId="2" borderId="29" xfId="0" applyFont="1" applyFill="1" applyBorder="1" applyAlignment="1">
      <alignment vertical="center" wrapText="1"/>
    </xf>
    <xf numFmtId="0" fontId="1" fillId="2" borderId="11" xfId="0" applyFont="1" applyFill="1" applyBorder="1" applyAlignment="1">
      <alignment vertical="center" wrapText="1"/>
    </xf>
    <xf numFmtId="0" fontId="8" fillId="2" borderId="1"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0" xfId="0" applyFont="1" applyFill="1" applyBorder="1" applyAlignment="1">
      <alignment horizontal="center" vertical="center"/>
    </xf>
    <xf numFmtId="0" fontId="2" fillId="0" borderId="0" xfId="0" applyFont="1" applyBorder="1" applyAlignment="1">
      <alignment wrapText="1"/>
    </xf>
    <xf numFmtId="0" fontId="2" fillId="0" borderId="18" xfId="0" applyFont="1" applyBorder="1" applyAlignment="1">
      <alignment wrapText="1"/>
    </xf>
    <xf numFmtId="0" fontId="8" fillId="2" borderId="50" xfId="1" applyFont="1" applyFill="1" applyBorder="1" applyAlignment="1">
      <alignment vertical="center" wrapText="1"/>
    </xf>
    <xf numFmtId="0" fontId="8" fillId="2" borderId="64" xfId="1" applyFont="1" applyFill="1" applyBorder="1" applyAlignment="1">
      <alignment vertical="center"/>
    </xf>
    <xf numFmtId="0" fontId="1" fillId="2" borderId="29" xfId="4" applyFont="1" applyFill="1" applyBorder="1" applyAlignment="1">
      <alignment horizontal="center"/>
    </xf>
    <xf numFmtId="0" fontId="1" fillId="2" borderId="30" xfId="4" applyFont="1" applyFill="1" applyBorder="1" applyAlignment="1">
      <alignment horizontal="center"/>
    </xf>
    <xf numFmtId="0" fontId="1" fillId="2" borderId="11" xfId="4" applyFont="1" applyFill="1" applyBorder="1" applyAlignment="1">
      <alignment horizontal="center"/>
    </xf>
    <xf numFmtId="0" fontId="1" fillId="2" borderId="1" xfId="4" applyFont="1" applyFill="1" applyBorder="1" applyAlignment="1">
      <alignment horizontal="center"/>
    </xf>
    <xf numFmtId="0" fontId="8" fillId="0" borderId="0" xfId="4" applyFont="1" applyFill="1" applyBorder="1" applyAlignment="1">
      <alignment wrapText="1"/>
    </xf>
    <xf numFmtId="0" fontId="0" fillId="2" borderId="2" xfId="4" applyFont="1" applyFill="1" applyBorder="1" applyAlignment="1">
      <alignment horizontal="center" vertical="center" wrapText="1"/>
    </xf>
    <xf numFmtId="0" fontId="0" fillId="2" borderId="20" xfId="4" applyFont="1" applyFill="1" applyBorder="1" applyAlignment="1">
      <alignment horizontal="center" vertical="center" wrapText="1"/>
    </xf>
    <xf numFmtId="0" fontId="0" fillId="2" borderId="2" xfId="4" applyFont="1" applyFill="1" applyBorder="1" applyAlignment="1">
      <alignment horizontal="center"/>
    </xf>
    <xf numFmtId="0" fontId="0" fillId="2" borderId="15" xfId="4" applyFont="1" applyFill="1" applyBorder="1" applyAlignment="1">
      <alignment horizontal="center"/>
    </xf>
    <xf numFmtId="0" fontId="0" fillId="2" borderId="20" xfId="4" applyFont="1" applyFill="1" applyBorder="1" applyAlignment="1">
      <alignment horizontal="center"/>
    </xf>
    <xf numFmtId="0" fontId="1" fillId="2" borderId="15" xfId="4" applyFont="1" applyFill="1" applyBorder="1" applyAlignment="1">
      <alignment horizontal="center"/>
    </xf>
    <xf numFmtId="0" fontId="1" fillId="2" borderId="20" xfId="4" applyFont="1" applyFill="1" applyBorder="1" applyAlignment="1">
      <alignment horizontal="center"/>
    </xf>
    <xf numFmtId="0" fontId="0" fillId="2" borderId="1" xfId="4" applyFont="1" applyFill="1" applyBorder="1" applyAlignment="1">
      <alignment horizontal="center" vertical="center" wrapText="1"/>
    </xf>
    <xf numFmtId="0" fontId="0" fillId="2" borderId="15" xfId="4" applyFont="1" applyFill="1" applyBorder="1" applyAlignment="1">
      <alignment horizontal="center" vertical="center" wrapText="1"/>
    </xf>
  </cellXfs>
  <cellStyles count="7">
    <cellStyle name="Hiperłącze" xfId="5" builtinId="8"/>
    <cellStyle name="Normalny" xfId="0" builtinId="0"/>
    <cellStyle name="Normalny 2" xfId="1"/>
    <cellStyle name="Normalny 3" xfId="4"/>
    <cellStyle name="Procentowy" xfId="6" builtinId="5"/>
    <cellStyle name="Założenia" xfId="2"/>
    <cellStyle name="Złe 2" xfId="3"/>
  </cellStyles>
  <dxfs count="0"/>
  <tableStyles count="0" defaultTableStyle="TableStyleMedium2" defaultPivotStyle="PivotStyleLight16"/>
  <colors>
    <mruColors>
      <color rgb="FFFF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47626</xdr:rowOff>
    </xdr:from>
    <xdr:to>
      <xdr:col>8</xdr:col>
      <xdr:colOff>2362200</xdr:colOff>
      <xdr:row>8</xdr:row>
      <xdr:rowOff>9526</xdr:rowOff>
    </xdr:to>
    <xdr:sp macro="" textlink="">
      <xdr:nvSpPr>
        <xdr:cNvPr id="2" name="pole tekstowe 1"/>
        <xdr:cNvSpPr txBox="1"/>
      </xdr:nvSpPr>
      <xdr:spPr>
        <a:xfrm>
          <a:off x="38100" y="352426"/>
          <a:ext cx="11515725" cy="1295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a:t>Niniejsza zakładka prezentuje sposób kalkulacji wolumenu emisji gazów</a:t>
          </a:r>
          <a:r>
            <a:rPr lang="pl-PL" baseline="0"/>
            <a:t> cieplarnianych (CO</a:t>
          </a:r>
          <a:r>
            <a:rPr lang="pl-PL" baseline="-25000"/>
            <a:t>2</a:t>
          </a:r>
          <a:r>
            <a:rPr lang="pl-PL" baseline="0"/>
            <a:t>) i </a:t>
          </a:r>
          <a:r>
            <a:rPr lang="pl-PL" sz="1100">
              <a:solidFill>
                <a:schemeClr val="dk1"/>
              </a:solidFill>
              <a:effectLst/>
              <a:latin typeface="+mn-lt"/>
              <a:ea typeface="+mn-ea"/>
              <a:cs typeface="+mn-cs"/>
            </a:rPr>
            <a:t>zanieczyszczeń powietrza </a:t>
          </a:r>
          <a:r>
            <a:rPr lang="pl-PL"/>
            <a:t>dla autobusów w</a:t>
          </a:r>
          <a:r>
            <a:rPr lang="pl-PL" sz="1100">
              <a:solidFill>
                <a:schemeClr val="dk1"/>
              </a:solidFill>
              <a:effectLst/>
              <a:latin typeface="+mn-lt"/>
              <a:ea typeface="+mn-ea"/>
              <a:cs typeface="+mn-cs"/>
            </a:rPr>
            <a:t> </a:t>
          </a:r>
          <a:r>
            <a:rPr lang="pl-PL"/>
            <a:t>transporcie zbiorowym na podstawie zużycia paliwa lub energii elektrycznej. Kalkulacja taka powinna być stosowana, gdy środki transportu o różnym napędzie są porównywane między sobą (np. autobusy z silnikiem Diesla tzn. na olej napędowy ON, CNG, LPG/LNG i elektryczne). Dane dotyczące wskaźników emisyjności dla poszczególnych norm EURO stanowią maksymalne emisje dla danej normy zgodnie ze wskazanymi aktami prawnymi. </a:t>
          </a:r>
        </a:p>
        <a:p>
          <a:r>
            <a:rPr lang="pl-PL"/>
            <a:t>Na zakładce należy w pola żółte wpisać dane specyficzne dla analizowanego taboru, natomiast w polach szarych pojawiają się ostateczne wyniki (emisja w gramach na km). Prosimy o niezmienianie pozostałych pól, ponieważ może to spowodować błędne działanie obliczeń. </a:t>
          </a:r>
        </a:p>
        <a:p>
          <a:r>
            <a:rPr lang="pl-PL"/>
            <a:t>Do obliczonych na niniejszej zakładce wolumenów emisji należy stosować koszty jednostkowe CO</a:t>
          </a:r>
          <a:r>
            <a:rPr lang="pl-PL" baseline="-25000"/>
            <a:t>2</a:t>
          </a:r>
          <a:r>
            <a:rPr lang="pl-PL"/>
            <a:t> według</a:t>
          </a:r>
          <a:r>
            <a:rPr lang="pl-PL" baseline="0"/>
            <a:t> projekcji na zakładce "</a:t>
          </a:r>
          <a:r>
            <a:rPr lang="en-GB" sz="1100">
              <a:solidFill>
                <a:schemeClr val="dk1"/>
              </a:solidFill>
              <a:effectLst/>
              <a:latin typeface="+mn-lt"/>
              <a:ea typeface="+mn-ea"/>
              <a:cs typeface="+mn-cs"/>
            </a:rPr>
            <a:t>Zmiany klimatu (GHG) samochody</a:t>
          </a:r>
          <a:r>
            <a:rPr lang="pl-PL" baseline="0"/>
            <a:t>" oraz koszty jednostkowe wyszczególnionych tu zanieczyszczeń powietrza według projekcji na zakładce "</a:t>
          </a:r>
          <a:r>
            <a:rPr lang="en-GB" sz="1100">
              <a:solidFill>
                <a:schemeClr val="dk1"/>
              </a:solidFill>
              <a:effectLst/>
              <a:latin typeface="+mn-lt"/>
              <a:ea typeface="+mn-ea"/>
              <a:cs typeface="+mn-cs"/>
            </a:rPr>
            <a:t>Zanieczyszczenia transp.ląd</a:t>
          </a:r>
          <a:r>
            <a:rPr lang="pl-PL" baseline="0"/>
            <a:t>". </a:t>
          </a:r>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47626</xdr:rowOff>
    </xdr:from>
    <xdr:to>
      <xdr:col>8</xdr:col>
      <xdr:colOff>2362200</xdr:colOff>
      <xdr:row>8</xdr:row>
      <xdr:rowOff>9526</xdr:rowOff>
    </xdr:to>
    <xdr:sp macro="" textlink="">
      <xdr:nvSpPr>
        <xdr:cNvPr id="2" name="pole tekstowe 1"/>
        <xdr:cNvSpPr txBox="1"/>
      </xdr:nvSpPr>
      <xdr:spPr>
        <a:xfrm>
          <a:off x="38100" y="352426"/>
          <a:ext cx="11515725" cy="1295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a:t>Niniejsza zakładka prezentuje sposób kalkulacji wolumenu emisji gazów</a:t>
          </a:r>
          <a:r>
            <a:rPr lang="pl-PL" baseline="0"/>
            <a:t> cieplarnianych (CO</a:t>
          </a:r>
          <a:r>
            <a:rPr lang="pl-PL" baseline="-25000"/>
            <a:t>2</a:t>
          </a:r>
          <a:r>
            <a:rPr lang="pl-PL" baseline="0"/>
            <a:t>) i </a:t>
          </a:r>
          <a:r>
            <a:rPr lang="pl-PL" sz="1100">
              <a:solidFill>
                <a:schemeClr val="dk1"/>
              </a:solidFill>
              <a:effectLst/>
              <a:latin typeface="+mn-lt"/>
              <a:ea typeface="+mn-ea"/>
              <a:cs typeface="+mn-cs"/>
            </a:rPr>
            <a:t>zanieczyszczeń powietrza dla autobusów w transporcie zbiorowym </a:t>
          </a:r>
          <a:r>
            <a:rPr lang="pl-PL"/>
            <a:t>na podstawie zużycia paliwa lub energii elektrycznej. Kalkulacja taka powinna być stosowana, gdy środki transportu o różnym napędzie są porównywane między sobą (np. autobusy z silnikiem Diesla tzn. na olej napędowy ON, CNG, LPG/LNG i elektryczne). Dane dotyczące wskaźników emisyjności dla poszczególnych norm EURO stanowią maksymalne emisje dla danej normy zgodnie ze wskazanymi aktami prawnymi. </a:t>
          </a:r>
        </a:p>
        <a:p>
          <a:r>
            <a:rPr lang="pl-PL"/>
            <a:t>Na zakładce należy w pola żółte wpisać dane specyficzne dla analizowanego taboru, natomiast w polach szarych pojawiają się ostateczne wyniki (emisja w gramach na km). Prosimy o niezmienianie pozostałych pól, ponieważ może to spowodować błędne działanie obliczeń. </a:t>
          </a:r>
        </a:p>
        <a:p>
          <a:r>
            <a:rPr lang="pl-PL"/>
            <a:t>Do obliczonych na niniejszej zakładce wolumenów emisji należy stosować koszty jednostkowe CO</a:t>
          </a:r>
          <a:r>
            <a:rPr lang="pl-PL" baseline="-25000"/>
            <a:t>2</a:t>
          </a:r>
          <a:r>
            <a:rPr lang="pl-PL"/>
            <a:t> według</a:t>
          </a:r>
          <a:r>
            <a:rPr lang="pl-PL" baseline="0"/>
            <a:t> projekcji na zakładce "</a:t>
          </a:r>
          <a:r>
            <a:rPr lang="en-GB" sz="1100">
              <a:solidFill>
                <a:schemeClr val="dk1"/>
              </a:solidFill>
              <a:effectLst/>
              <a:latin typeface="+mn-lt"/>
              <a:ea typeface="+mn-ea"/>
              <a:cs typeface="+mn-cs"/>
            </a:rPr>
            <a:t>Zmiany klimatu (GHG) samochody</a:t>
          </a:r>
          <a:r>
            <a:rPr lang="pl-PL" baseline="0"/>
            <a:t>" oraz koszty jednostkowe wyszczególnionych tu zanieczyszczeń powietrza według projekcji na zakładce "</a:t>
          </a:r>
          <a:r>
            <a:rPr lang="en-GB" sz="1100">
              <a:solidFill>
                <a:schemeClr val="dk1"/>
              </a:solidFill>
              <a:effectLst/>
              <a:latin typeface="+mn-lt"/>
              <a:ea typeface="+mn-ea"/>
              <a:cs typeface="+mn-cs"/>
            </a:rPr>
            <a:t>Zanieczyszczenia transp.ląd</a:t>
          </a:r>
          <a:r>
            <a:rPr lang="pl-PL" baseline="0"/>
            <a:t>". </a:t>
          </a:r>
          <a:endParaRPr lang="pl-P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47626</xdr:rowOff>
    </xdr:from>
    <xdr:to>
      <xdr:col>8</xdr:col>
      <xdr:colOff>2362200</xdr:colOff>
      <xdr:row>8</xdr:row>
      <xdr:rowOff>9526</xdr:rowOff>
    </xdr:to>
    <xdr:sp macro="" textlink="">
      <xdr:nvSpPr>
        <xdr:cNvPr id="2" name="pole tekstowe 1"/>
        <xdr:cNvSpPr txBox="1"/>
      </xdr:nvSpPr>
      <xdr:spPr>
        <a:xfrm>
          <a:off x="38100" y="352426"/>
          <a:ext cx="11563350" cy="1295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a:t>Niniejsza zakładka prezentuje sposób kalkulacji wolumenu emisji gazów</a:t>
          </a:r>
          <a:r>
            <a:rPr lang="pl-PL" baseline="0"/>
            <a:t> cieplarnianych (CO</a:t>
          </a:r>
          <a:r>
            <a:rPr lang="pl-PL" baseline="-25000"/>
            <a:t>2</a:t>
          </a:r>
          <a:r>
            <a:rPr lang="pl-PL" baseline="0"/>
            <a:t>) i </a:t>
          </a:r>
          <a:r>
            <a:rPr lang="pl-PL" sz="1100">
              <a:solidFill>
                <a:schemeClr val="dk1"/>
              </a:solidFill>
              <a:effectLst/>
              <a:latin typeface="+mn-lt"/>
              <a:ea typeface="+mn-ea"/>
              <a:cs typeface="+mn-cs"/>
            </a:rPr>
            <a:t>zanieczyszczeń powietrza dla autobusów w transporcie zbiorowym </a:t>
          </a:r>
          <a:r>
            <a:rPr lang="pl-PL"/>
            <a:t>na podstawie zużycia paliwa lub energii elektrycznej. Kalkulacja taka powinna być stosowana, gdy środki transportu o różnym napędzie są porównywane między sobą (np. autobusy z silnikiem Diesla tzn. na olej napędowy ON, CNG, LPG/LNG i elektryczne). Dane dotyczące wskaźników emisyjności dla poszczególnych norm EURO stanowią maksymalne emisje dla danej normy zgodnie ze wskazanymi aktami prawnymi. </a:t>
          </a:r>
        </a:p>
        <a:p>
          <a:r>
            <a:rPr lang="pl-PL"/>
            <a:t>Na zakładce należy w pola żółte wpisać dane specyficzne dla analizowanego taboru, natomiast w polach szarych pojawiają się ostateczne wyniki (emisja w gramach na km). Prosimy o niezmienianie pozostałych pól, ponieważ może to spowodować błędne działanie obliczeń. </a:t>
          </a:r>
        </a:p>
        <a:p>
          <a:r>
            <a:rPr lang="pl-PL"/>
            <a:t>Do obliczonych na niniejszej zakładce wolumenów emisji należy stosować koszty jednostkowe CO</a:t>
          </a:r>
          <a:r>
            <a:rPr lang="pl-PL" baseline="-25000"/>
            <a:t>2</a:t>
          </a:r>
          <a:r>
            <a:rPr lang="pl-PL"/>
            <a:t> według</a:t>
          </a:r>
          <a:r>
            <a:rPr lang="pl-PL" baseline="0"/>
            <a:t> projekcji na zakładce "</a:t>
          </a:r>
          <a:r>
            <a:rPr lang="en-GB" sz="1100">
              <a:solidFill>
                <a:schemeClr val="dk1"/>
              </a:solidFill>
              <a:effectLst/>
              <a:latin typeface="+mn-lt"/>
              <a:ea typeface="+mn-ea"/>
              <a:cs typeface="+mn-cs"/>
            </a:rPr>
            <a:t>Zmiany klimatu (GHG) samochody</a:t>
          </a:r>
          <a:r>
            <a:rPr lang="pl-PL" baseline="0"/>
            <a:t>" oraz koszty jednostkowe wyszczególnionych tu zanieczyszczeń powietrza według projekcji na zakładce "</a:t>
          </a:r>
          <a:r>
            <a:rPr lang="en-GB" sz="1100">
              <a:solidFill>
                <a:schemeClr val="dk1"/>
              </a:solidFill>
              <a:effectLst/>
              <a:latin typeface="+mn-lt"/>
              <a:ea typeface="+mn-ea"/>
              <a:cs typeface="+mn-cs"/>
            </a:rPr>
            <a:t>Zanieczyszczenia transp.ląd</a:t>
          </a:r>
          <a:r>
            <a:rPr lang="pl-PL" baseline="0"/>
            <a:t>". </a:t>
          </a:r>
          <a:endParaRPr lang="pl-PL"/>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19050</xdr:colOff>
      <xdr:row>192</xdr:row>
      <xdr:rowOff>1</xdr:rowOff>
    </xdr:from>
    <xdr:to>
      <xdr:col>26</xdr:col>
      <xdr:colOff>581025</xdr:colOff>
      <xdr:row>196</xdr:row>
      <xdr:rowOff>28575</xdr:rowOff>
    </xdr:to>
    <xdr:sp macro="" textlink="">
      <xdr:nvSpPr>
        <xdr:cNvPr id="3" name="pole tekstowe 2"/>
        <xdr:cNvSpPr txBox="1"/>
      </xdr:nvSpPr>
      <xdr:spPr>
        <a:xfrm>
          <a:off x="2676525" y="11925301"/>
          <a:ext cx="9334500" cy="790574"/>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jednostkowe zróżnicowano w zależności od dwóch kategorii pojazdów: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koszty jednostkowe dla LV należy przyjąć dla samochodów osobowych (SO) i samochodów dostawczych (SD); </a:t>
          </a:r>
        </a:p>
        <a:p>
          <a:r>
            <a:rPr lang="pl-PL" sz="1100">
              <a:solidFill>
                <a:schemeClr val="dk1"/>
              </a:solidFill>
              <a:effectLst/>
              <a:latin typeface="+mn-lt"/>
              <a:ea typeface="+mn-ea"/>
              <a:cs typeface="+mn-cs"/>
            </a:rPr>
            <a:t>- koszty jednostkowe dla HGV należy przyjąć dla samochodów ciężarowych bez przyczep (SC), samochodów ciężarowych z przyczepami (SCp) oraz autobusów (A).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9525</xdr:colOff>
      <xdr:row>29</xdr:row>
      <xdr:rowOff>9525</xdr:rowOff>
    </xdr:from>
    <xdr:to>
      <xdr:col>29</xdr:col>
      <xdr:colOff>0</xdr:colOff>
      <xdr:row>34</xdr:row>
      <xdr:rowOff>219075</xdr:rowOff>
    </xdr:to>
    <xdr:sp macro="" textlink="">
      <xdr:nvSpPr>
        <xdr:cNvPr id="3" name="pole tekstowe 2"/>
        <xdr:cNvSpPr txBox="1"/>
      </xdr:nvSpPr>
      <xdr:spPr>
        <a:xfrm>
          <a:off x="6257925" y="5610225"/>
          <a:ext cx="7000875" cy="11620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Emisje i koszty jednostkowe zróżnicowano w zależności od dwóch kategorii pojazdów: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emisje i koszty jednostkowe dla LV należy przyjąć dla samochodów osobowych (SO) i samochodów dostawczych (SD); </a:t>
          </a:r>
        </a:p>
        <a:p>
          <a:r>
            <a:rPr lang="pl-PL" sz="1100">
              <a:solidFill>
                <a:schemeClr val="dk1"/>
              </a:solidFill>
              <a:effectLst/>
              <a:latin typeface="+mn-lt"/>
              <a:ea typeface="+mn-ea"/>
              <a:cs typeface="+mn-cs"/>
            </a:rPr>
            <a:t>- emisje i koszty jednostkowe dla HGV należy przyjąć dla samochodów ciężarowych bez przyczep (SC), samochodów ciężarowych z przyczepami (SCp) oraz autobusów (A). </a:t>
          </a:r>
        </a:p>
      </xdr:txBody>
    </xdr:sp>
    <xdr:clientData/>
  </xdr:twoCellAnchor>
  <xdr:twoCellAnchor>
    <xdr:from>
      <xdr:col>22</xdr:col>
      <xdr:colOff>419100</xdr:colOff>
      <xdr:row>79</xdr:row>
      <xdr:rowOff>219075</xdr:rowOff>
    </xdr:from>
    <xdr:to>
      <xdr:col>31</xdr:col>
      <xdr:colOff>0</xdr:colOff>
      <xdr:row>89</xdr:row>
      <xdr:rowOff>171450</xdr:rowOff>
    </xdr:to>
    <xdr:sp macro="" textlink="">
      <xdr:nvSpPr>
        <xdr:cNvPr id="4" name="pole tekstowe 3"/>
        <xdr:cNvSpPr txBox="1"/>
      </xdr:nvSpPr>
      <xdr:spPr>
        <a:xfrm>
          <a:off x="8496300" y="15563850"/>
          <a:ext cx="5981700" cy="20097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Stawka jednostkowa „shadow cost of</a:t>
          </a:r>
          <a:r>
            <a:rPr lang="pl-PL" sz="1100" baseline="0">
              <a:solidFill>
                <a:schemeClr val="dk1"/>
              </a:solidFill>
              <a:effectLst/>
              <a:latin typeface="+mn-lt"/>
              <a:ea typeface="+mn-ea"/>
              <a:cs typeface="+mn-cs"/>
            </a:rPr>
            <a:t> carbon</a:t>
          </a:r>
          <a:r>
            <a:rPr lang="pl-PL" sz="1100">
              <a:solidFill>
                <a:schemeClr val="dk1"/>
              </a:solidFill>
              <a:effectLst/>
              <a:latin typeface="+mn-lt"/>
              <a:ea typeface="+mn-ea"/>
              <a:cs typeface="+mn-cs"/>
            </a:rPr>
            <a:t>” PLN/t CO</a:t>
          </a:r>
          <a:r>
            <a:rPr lang="pl-PL" sz="1100" baseline="-25000">
              <a:solidFill>
                <a:schemeClr val="dk1"/>
              </a:solidFill>
              <a:effectLst/>
              <a:latin typeface="+mn-lt"/>
              <a:ea typeface="+mn-ea"/>
              <a:cs typeface="+mn-cs"/>
            </a:rPr>
            <a:t>2</a:t>
          </a:r>
          <a:r>
            <a:rPr lang="pl-PL" sz="1100">
              <a:solidFill>
                <a:schemeClr val="dk1"/>
              </a:solidFill>
              <a:effectLst/>
              <a:latin typeface="+mn-lt"/>
              <a:ea typeface="+mn-ea"/>
              <a:cs typeface="+mn-cs"/>
            </a:rPr>
            <a:t>e określona na podstawie EIB Group Climate Bank Roadmap (2020) (Annex 5. Aligned carbon prices, str. 121):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...it is proposed to align the Bank’s shadow cost of carbon to reflect the best available evidence on the cost of meeting the Paris temperature targets. It is therefore proposed to anchor the EIB shadow cost in median values from the review of the IAMC database, as shown in Figure A9. Rounding out the median estimates in 2020, 2030 and 2050, and linearly interpolating for years in between gives the values in Table A6.</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These are values measured in real terms – i.e. in 2016 euros.</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...these figures are only used to estimate the value of net carbon savings or emissions. Demand forecasts and other related aspects of economic analysis are driven by actual market price signals, influenced by the full range of supportive policies.</a:t>
          </a:r>
          <a:r>
            <a:rPr lang="pl-PL" sz="1100">
              <a:solidFill>
                <a:schemeClr val="dk1"/>
              </a:solidFill>
              <a:effectLst/>
              <a:latin typeface="+mn-lt"/>
              <a:ea typeface="+mn-ea"/>
              <a:cs typeface="+mn-cs"/>
            </a:rPr>
            <a:t>” </a:t>
          </a:r>
          <a:endParaRPr lang="pl-PL" sz="1100"/>
        </a:p>
      </xdr:txBody>
    </xdr:sp>
    <xdr:clientData/>
  </xdr:twoCellAnchor>
  <xdr:twoCellAnchor>
    <xdr:from>
      <xdr:col>15</xdr:col>
      <xdr:colOff>28574</xdr:colOff>
      <xdr:row>120</xdr:row>
      <xdr:rowOff>133351</xdr:rowOff>
    </xdr:from>
    <xdr:to>
      <xdr:col>26</xdr:col>
      <xdr:colOff>590550</xdr:colOff>
      <xdr:row>133</xdr:row>
      <xdr:rowOff>152400</xdr:rowOff>
    </xdr:to>
    <xdr:sp macro="" textlink="">
      <xdr:nvSpPr>
        <xdr:cNvPr id="5" name="pole tekstowe 4"/>
        <xdr:cNvSpPr txBox="1"/>
      </xdr:nvSpPr>
      <xdr:spPr>
        <a:xfrm>
          <a:off x="2686049" y="24812626"/>
          <a:ext cx="9334501" cy="249554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 Niniejsze podejście do oszacowania emisji gazów cieplarnianych przez pojazdy elektryczne (w tym elektryczne pojazdy drogowe i pociągi) jest oparte na prognozie redukcji wskaźnika emisji gazów cieplarnianych dla krajowej sieci elektroenergetycznej, ustalonej w przybliżeniu</a:t>
          </a:r>
          <a:r>
            <a:rPr lang="pl-PL" sz="1100" baseline="0"/>
            <a:t> na podstawie redukcji udziału energii elektrycznej wytwarzanej z węgla (kamiennego i brunatnego). Nie uwzględnia to, w jaki sposób zmiany udziałów innych źródeł energii mogą wpływać na współczynnik emisji gazów cieplarnianych. Uznaje się to za rozsądne założenie, uwzględniając, że głównie ten ten rodzaj paliwa (węgiel kamienny i brunatny) przyczynia się </a:t>
          </a:r>
          <a:r>
            <a:rPr lang="pl-PL" sz="1100" baseline="0">
              <a:solidFill>
                <a:schemeClr val="dk1"/>
              </a:solidFill>
              <a:effectLst/>
              <a:latin typeface="+mn-lt"/>
              <a:ea typeface="+mn-ea"/>
              <a:cs typeface="+mn-cs"/>
            </a:rPr>
            <a:t>do emisji gazów cieplarnianych przy produkcji energii elektrycznej. </a:t>
          </a:r>
        </a:p>
        <a:p>
          <a:r>
            <a:rPr lang="pl-PL" sz="1100" baseline="0">
              <a:solidFill>
                <a:schemeClr val="dk1"/>
              </a:solidFill>
              <a:effectLst/>
              <a:latin typeface="+mn-lt"/>
              <a:ea typeface="+mn-ea"/>
              <a:cs typeface="+mn-cs"/>
            </a:rPr>
            <a:t>- "EIB Project Carbon Footprint Methodologies" (wersja 11.1, lipiec 2020) przedstawia odmienne wartości </a:t>
          </a:r>
          <a:r>
            <a:rPr lang="pl-PL" sz="1100">
              <a:solidFill>
                <a:schemeClr val="dk1"/>
              </a:solidFill>
              <a:effectLst/>
              <a:latin typeface="+mn-lt"/>
              <a:ea typeface="+mn-ea"/>
              <a:cs typeface="+mn-cs"/>
            </a:rPr>
            <a:t>wskaźników emisji gazów cieplarnianych dla krajowej sieci elektroenergetycznej </a:t>
          </a:r>
          <a:r>
            <a:rPr lang="pl-PL" sz="1100" baseline="0">
              <a:solidFill>
                <a:schemeClr val="dk1"/>
              </a:solidFill>
              <a:effectLst/>
              <a:latin typeface="+mn-lt"/>
              <a:ea typeface="+mn-ea"/>
              <a:cs typeface="+mn-cs"/>
            </a:rPr>
            <a:t>i rekomenduje ich użycie zależnie od źródła energii sieciowej (sieć niskich napięć NN, średnich napięć SN, wysokich napięć WN). W zastosowanym podejściu natomiast przyjęta jest tylko średnia wartość wskaźnika emisji przy wytwarzaniu sieciowej energii elektrycznej (bez uwzględnienia strat energii w przesyle i dystrybucji). Tak samo jak powyżej, uznaje się to za rozsądne założenie oparte na uznanym źródle. </a:t>
          </a:r>
        </a:p>
        <a:p>
          <a:r>
            <a:rPr lang="pl-PL" sz="1100" baseline="0">
              <a:solidFill>
                <a:schemeClr val="dk1"/>
              </a:solidFill>
              <a:effectLst/>
              <a:latin typeface="+mn-lt"/>
              <a:ea typeface="+mn-ea"/>
              <a:cs typeface="+mn-cs"/>
            </a:rPr>
            <a:t>- W ramach koniecznych uproszczeń oraz ze względu na zastrzeżenia metodologiczne, przyszłe zmiany w polskim miksie energetycznym nie zostały odzwierciedlone w emisjach zanieczyszczeń powietrza. W szczególności, redukcja wskaźnika </a:t>
          </a:r>
          <a:r>
            <a:rPr lang="pl-PL" sz="1100">
              <a:solidFill>
                <a:schemeClr val="dk1"/>
              </a:solidFill>
              <a:effectLst/>
              <a:latin typeface="+mn-lt"/>
              <a:ea typeface="+mn-ea"/>
              <a:cs typeface="+mn-cs"/>
            </a:rPr>
            <a:t>emisji gazów cieplarnianych dla krajowej sieci elektroenergetycznej nie może zostać bezpośrednio zastosowana do emisji pyłów nie pochodzących ze spalin (</a:t>
          </a:r>
          <a:r>
            <a:rPr lang="en-GB" sz="1100">
              <a:solidFill>
                <a:schemeClr val="dk1"/>
              </a:solidFill>
              <a:effectLst/>
              <a:latin typeface="+mn-lt"/>
              <a:ea typeface="+mn-ea"/>
              <a:cs typeface="+mn-cs"/>
            </a:rPr>
            <a:t>non-exhaust particulate matter</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Prognozowane zmiany </a:t>
          </a:r>
          <a:r>
            <a:rPr lang="pl-PL" sz="1100" baseline="0">
              <a:solidFill>
                <a:schemeClr val="dk1"/>
              </a:solidFill>
              <a:effectLst/>
              <a:latin typeface="+mn-lt"/>
              <a:ea typeface="+mn-ea"/>
              <a:cs typeface="+mn-cs"/>
            </a:rPr>
            <a:t>w krajowym miksie energetycznym nie zostały również odzwierciedlone w kosztach eksploatacji (VOC) pojazdów napędzanych energią elektryczną, w tym elektrycznych pojazdów drogowych i pociągów. </a:t>
          </a:r>
          <a:endParaRPr lang="pl-P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247650</xdr:colOff>
      <xdr:row>42</xdr:row>
      <xdr:rowOff>0</xdr:rowOff>
    </xdr:from>
    <xdr:to>
      <xdr:col>31</xdr:col>
      <xdr:colOff>228600</xdr:colOff>
      <xdr:row>47</xdr:row>
      <xdr:rowOff>38100</xdr:rowOff>
    </xdr:to>
    <xdr:sp macro="" textlink="">
      <xdr:nvSpPr>
        <xdr:cNvPr id="2" name="pole tekstowe 1"/>
        <xdr:cNvSpPr txBox="1"/>
      </xdr:nvSpPr>
      <xdr:spPr>
        <a:xfrm>
          <a:off x="9305925" y="7886700"/>
          <a:ext cx="5467350" cy="9906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Cyt. Handbook on the External Costs of Transport, EC (January 2019), str.</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twoCellAnchor>
    <xdr:from>
      <xdr:col>19</xdr:col>
      <xdr:colOff>0</xdr:colOff>
      <xdr:row>98</xdr:row>
      <xdr:rowOff>0</xdr:rowOff>
    </xdr:from>
    <xdr:to>
      <xdr:col>30</xdr:col>
      <xdr:colOff>361949</xdr:colOff>
      <xdr:row>101</xdr:row>
      <xdr:rowOff>171450</xdr:rowOff>
    </xdr:to>
    <xdr:sp macro="" textlink="">
      <xdr:nvSpPr>
        <xdr:cNvPr id="3" name="pole tekstowe 2"/>
        <xdr:cNvSpPr txBox="1"/>
      </xdr:nvSpPr>
      <xdr:spPr>
        <a:xfrm>
          <a:off x="6315075" y="19897725"/>
          <a:ext cx="7981949" cy="11239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jednostkowe zróżnicowano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zależności od dwóch kategorii pojazdów: samochody lekkie LV 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samochody ciężarowe HGV.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przypadku, jeżeli rezultaty prognozy ruchu zostały przedstawione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podziale na standardowe 5</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kategorii pojazdów, to powinny one zostać potraktowane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sposób następujący: </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koszty jednostkowe dla LV należy przyjąć dla samochodów osobowych (SO) 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samochodów dostawczych (SD); </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koszty jednostkowe dla HGV należy przyjąć dla samochodów ciężarowych bez przyczep (SC), samochodów ciężarowych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przyczepami (SCp) oraz autobusów (A).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47625</xdr:colOff>
      <xdr:row>52</xdr:row>
      <xdr:rowOff>180975</xdr:rowOff>
    </xdr:from>
    <xdr:to>
      <xdr:col>15</xdr:col>
      <xdr:colOff>676275</xdr:colOff>
      <xdr:row>60</xdr:row>
      <xdr:rowOff>28575</xdr:rowOff>
    </xdr:to>
    <xdr:sp macro="" textlink="">
      <xdr:nvSpPr>
        <xdr:cNvPr id="2" name="pole tekstowe 1"/>
        <xdr:cNvSpPr txBox="1"/>
      </xdr:nvSpPr>
      <xdr:spPr>
        <a:xfrm>
          <a:off x="2038350" y="4333875"/>
          <a:ext cx="4533900" cy="1638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Koszty krańcowe są dostępne w opracowaniu źródłowym dla bardzo wielu szczegółowo określonych kategorii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różnych środków transportu (pkt 4.4 Marginal air pollution costs for selected cases). Cyt. Handbook on the External Costs of Transport, EC (January 2019), str. 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5"/>
  <sheetViews>
    <sheetView showGridLines="0" tabSelected="1" workbookViewId="0"/>
  </sheetViews>
  <sheetFormatPr defaultColWidth="0" defaultRowHeight="15" zeroHeight="1"/>
  <cols>
    <col min="1" max="33" width="9.140625" customWidth="1"/>
    <col min="34" max="16384" width="9.140625" hidden="1"/>
  </cols>
  <sheetData>
    <row r="1" spans="1:32"/>
    <row r="2" spans="1:32" ht="26.25">
      <c r="B2" s="568" t="s">
        <v>669</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91"/>
      <c r="AD2" s="591"/>
      <c r="AE2" s="591"/>
      <c r="AF2" s="591"/>
    </row>
    <row r="3" spans="1:32" s="604" customFormat="1" ht="30.75">
      <c r="B3" s="568" t="s">
        <v>670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row>
    <row r="4" spans="1:32">
      <c r="B4" s="603"/>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91"/>
      <c r="AD4" s="591"/>
      <c r="AE4" s="591"/>
      <c r="AF4" s="591"/>
    </row>
    <row r="5" spans="1:32" ht="21">
      <c r="B5" s="566" t="s">
        <v>701</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91"/>
      <c r="AD5" s="591"/>
      <c r="AE5" s="591"/>
      <c r="AF5" s="591"/>
    </row>
    <row r="6" spans="1:32" s="555" customFormat="1" ht="18.75">
      <c r="B6" s="565"/>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91"/>
      <c r="AD6" s="591"/>
      <c r="AE6" s="591"/>
      <c r="AF6" s="591"/>
    </row>
    <row r="7" spans="1:32" s="555" customFormat="1" ht="15.75">
      <c r="A7" s="600"/>
      <c r="B7" s="567" t="s">
        <v>657</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91"/>
      <c r="AD7" s="591"/>
      <c r="AE7" s="591"/>
      <c r="AF7" s="591"/>
    </row>
    <row r="8" spans="1:32">
      <c r="A8" s="600"/>
      <c r="B8" s="603"/>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91"/>
      <c r="AD8" s="591"/>
      <c r="AE8" s="591"/>
      <c r="AF8" s="591"/>
    </row>
    <row r="9" spans="1:32" ht="15.75">
      <c r="A9" s="600"/>
      <c r="B9" s="567" t="s">
        <v>671</v>
      </c>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91"/>
      <c r="AD9" s="591"/>
      <c r="AE9" s="591"/>
      <c r="AF9" s="591"/>
    </row>
    <row r="10" spans="1:32" s="590" customFormat="1" ht="15.75">
      <c r="A10" s="600"/>
      <c r="B10" s="567"/>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row>
    <row r="11" spans="1:32" s="572" customFormat="1" ht="15.75">
      <c r="A11" s="600"/>
      <c r="B11" s="598" t="s">
        <v>651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91"/>
      <c r="AD11" s="591"/>
      <c r="AE11" s="591"/>
      <c r="AF11" s="591"/>
    </row>
    <row r="12" spans="1:32" s="590" customFormat="1" ht="15.75">
      <c r="A12" s="600"/>
      <c r="B12" s="567" t="s">
        <v>652</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row>
    <row r="13" spans="1:32" s="590" customFormat="1" ht="15.75">
      <c r="A13" s="601"/>
      <c r="B13" s="567"/>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row>
    <row r="14" spans="1:32" s="590" customFormat="1" ht="15.75">
      <c r="A14" s="601" t="s">
        <v>610</v>
      </c>
      <c r="B14" s="599" t="s">
        <v>694</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row>
    <row r="15" spans="1:32" s="590" customFormat="1" ht="15.75">
      <c r="A15" s="601" t="s">
        <v>614</v>
      </c>
      <c r="B15" s="599" t="s">
        <v>702</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row>
    <row r="16" spans="1:32" s="590" customFormat="1" ht="15.75">
      <c r="A16" s="601"/>
      <c r="B16" s="599" t="s">
        <v>668</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row>
    <row r="17" spans="2:32" s="572" customFormat="1" ht="15.75">
      <c r="B17" s="599" t="s">
        <v>658</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91"/>
      <c r="AD17" s="591"/>
      <c r="AE17" s="591"/>
      <c r="AF17" s="591"/>
    </row>
    <row r="18" spans="2:32" s="572" customFormat="1" ht="15.75">
      <c r="B18" s="599" t="s">
        <v>659</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91"/>
      <c r="AD18" s="591"/>
      <c r="AE18" s="591"/>
      <c r="AF18" s="591"/>
    </row>
    <row r="19" spans="2:32" s="572" customFormat="1" ht="15.75">
      <c r="B19" s="599" t="s">
        <v>663</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91"/>
      <c r="AD19" s="591"/>
      <c r="AE19" s="591"/>
      <c r="AF19" s="591"/>
    </row>
    <row r="20" spans="2:32" s="572" customFormat="1" ht="15.75">
      <c r="B20" s="567"/>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91"/>
      <c r="AD20" s="591"/>
      <c r="AE20" s="591"/>
      <c r="AF20" s="591"/>
    </row>
    <row r="21" spans="2:32" s="572" customFormat="1" ht="15.75">
      <c r="B21" s="599" t="s">
        <v>660</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91"/>
      <c r="AD21" s="591"/>
      <c r="AE21" s="591"/>
      <c r="AF21" s="591"/>
    </row>
    <row r="22" spans="2:32" s="572" customFormat="1" ht="15.75">
      <c r="B22" s="599" t="s">
        <v>703</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91"/>
      <c r="AD22" s="591"/>
      <c r="AE22" s="591"/>
      <c r="AF22" s="591"/>
    </row>
    <row r="23" spans="2:32" s="590" customFormat="1" ht="15.75">
      <c r="B23" s="599" t="s">
        <v>661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row>
    <row r="24" spans="2:32" s="590" customFormat="1" ht="15.75">
      <c r="B24" s="599" t="s">
        <v>662</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row>
    <row r="25" spans="2:32" s="590" customFormat="1" ht="15.75">
      <c r="B25" s="599" t="s">
        <v>659</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row>
    <row r="26" spans="2:32" s="590" customFormat="1" ht="15.75">
      <c r="B26" s="599" t="s">
        <v>663</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row>
    <row r="27" spans="2:32" s="590" customFormat="1" ht="15.75">
      <c r="B27" s="599"/>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row>
    <row r="28" spans="2:32" ht="15.75">
      <c r="B28" s="567" t="s">
        <v>664</v>
      </c>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91"/>
      <c r="AD28" s="591"/>
      <c r="AE28" s="591"/>
      <c r="AF28" s="591"/>
    </row>
    <row r="29" spans="2:32" s="555" customFormat="1" ht="15.75">
      <c r="B29" s="567" t="s">
        <v>665</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91"/>
      <c r="AD29" s="591"/>
      <c r="AE29" s="591"/>
      <c r="AF29" s="591"/>
    </row>
    <row r="30" spans="2:32" s="555" customFormat="1" ht="15.75">
      <c r="B30" s="567"/>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91"/>
      <c r="AD30" s="591"/>
      <c r="AE30" s="591"/>
      <c r="AF30" s="591"/>
    </row>
    <row r="31" spans="2:32" ht="15.75">
      <c r="B31" s="567" t="s">
        <v>666</v>
      </c>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91"/>
      <c r="AD31" s="591"/>
      <c r="AE31" s="591"/>
      <c r="AF31" s="591"/>
    </row>
    <row r="32" spans="2:32" ht="15.75">
      <c r="B32" s="567"/>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91"/>
      <c r="AD32" s="591"/>
      <c r="AE32" s="591"/>
      <c r="AF32" s="591"/>
    </row>
    <row r="33" spans="2:32" ht="15.75">
      <c r="B33" s="567" t="s">
        <v>667</v>
      </c>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91"/>
      <c r="AD33" s="591"/>
      <c r="AE33" s="591"/>
      <c r="AF33" s="591"/>
    </row>
    <row r="34" spans="2:32">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91"/>
      <c r="AD34" s="591"/>
      <c r="AE34" s="591"/>
      <c r="AF34" s="591"/>
    </row>
    <row r="35" spans="2:32"/>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5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13.7109375" customWidth="1" collapsed="1"/>
    <col min="17" max="22" width="13.7109375" customWidth="1"/>
    <col min="23" max="62" width="9.140625" customWidth="1"/>
    <col min="63" max="16384" width="9.140625" hidden="1"/>
  </cols>
  <sheetData>
    <row r="1" spans="1:62" ht="21">
      <c r="A1" s="4" t="s">
        <v>113</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2">
      <c r="A2" s="315" t="str">
        <f>Indeksacja!$A$2</f>
        <v>Dla roku bazowego 2022 właściwe do zastosowania w analizie są wartości kosztów jednostkowych określone według poziomu cenowego z końca roku poprzedniego, tzn. 2021.</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row>
    <row r="3" spans="1:62"/>
    <row r="4" spans="1:62">
      <c r="A4" s="189" t="str">
        <f>'VOC eksploatacja samochody'!$A$4</f>
        <v>Prognoza zmian struktury floty pojazdów drogowych w Polsce pod względem rodzaju paliwa</v>
      </c>
    </row>
    <row r="5" spans="1:62"/>
    <row r="6" spans="1:62">
      <c r="A6" s="168" t="str">
        <f>'VOC eksploatacja samochody'!$A$48</f>
        <v>Struktura floty pojazdów LV</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row>
    <row r="7" spans="1:62">
      <c r="A7" s="9" t="s">
        <v>70</v>
      </c>
      <c r="B7" s="508" t="s">
        <v>0</v>
      </c>
      <c r="C7" s="2"/>
      <c r="D7" s="2"/>
      <c r="E7" s="2"/>
      <c r="F7" s="2"/>
      <c r="G7" s="2"/>
      <c r="H7" s="2"/>
      <c r="I7" s="2"/>
      <c r="J7" s="2"/>
      <c r="K7" s="2"/>
      <c r="L7" s="2"/>
      <c r="M7" s="2"/>
      <c r="N7" s="2"/>
      <c r="O7" s="2"/>
      <c r="P7" s="2"/>
      <c r="Q7" s="6"/>
      <c r="R7" s="6"/>
      <c r="S7" s="6"/>
      <c r="T7" s="6">
        <v>2019</v>
      </c>
      <c r="U7" s="6">
        <f t="shared" ref="U7:BJ7" si="0">T7+1</f>
        <v>2020</v>
      </c>
      <c r="V7" s="6">
        <f t="shared" si="0"/>
        <v>2021</v>
      </c>
      <c r="W7" s="6">
        <f t="shared" si="0"/>
        <v>2022</v>
      </c>
      <c r="X7" s="6">
        <f t="shared" si="0"/>
        <v>2023</v>
      </c>
      <c r="Y7" s="6">
        <f t="shared" si="0"/>
        <v>2024</v>
      </c>
      <c r="Z7" s="6">
        <f t="shared" si="0"/>
        <v>2025</v>
      </c>
      <c r="AA7" s="6">
        <f t="shared" si="0"/>
        <v>2026</v>
      </c>
      <c r="AB7" s="6">
        <f t="shared" si="0"/>
        <v>2027</v>
      </c>
      <c r="AC7" s="6">
        <f t="shared" si="0"/>
        <v>2028</v>
      </c>
      <c r="AD7" s="6">
        <f t="shared" si="0"/>
        <v>2029</v>
      </c>
      <c r="AE7" s="6">
        <f t="shared" si="0"/>
        <v>2030</v>
      </c>
      <c r="AF7" s="6">
        <f t="shared" si="0"/>
        <v>2031</v>
      </c>
      <c r="AG7" s="6">
        <f t="shared" si="0"/>
        <v>2032</v>
      </c>
      <c r="AH7" s="6">
        <f t="shared" si="0"/>
        <v>2033</v>
      </c>
      <c r="AI7" s="6">
        <f t="shared" si="0"/>
        <v>2034</v>
      </c>
      <c r="AJ7" s="6">
        <f t="shared" si="0"/>
        <v>2035</v>
      </c>
      <c r="AK7" s="6">
        <f t="shared" si="0"/>
        <v>2036</v>
      </c>
      <c r="AL7" s="6">
        <f t="shared" si="0"/>
        <v>2037</v>
      </c>
      <c r="AM7" s="6">
        <f t="shared" si="0"/>
        <v>2038</v>
      </c>
      <c r="AN7" s="6">
        <f t="shared" si="0"/>
        <v>2039</v>
      </c>
      <c r="AO7" s="6">
        <f t="shared" si="0"/>
        <v>2040</v>
      </c>
      <c r="AP7" s="6">
        <f t="shared" si="0"/>
        <v>2041</v>
      </c>
      <c r="AQ7" s="6">
        <f t="shared" si="0"/>
        <v>2042</v>
      </c>
      <c r="AR7" s="6">
        <f t="shared" si="0"/>
        <v>2043</v>
      </c>
      <c r="AS7" s="6">
        <f t="shared" si="0"/>
        <v>2044</v>
      </c>
      <c r="AT7" s="6">
        <f t="shared" si="0"/>
        <v>2045</v>
      </c>
      <c r="AU7" s="6">
        <f t="shared" si="0"/>
        <v>2046</v>
      </c>
      <c r="AV7" s="6">
        <f t="shared" si="0"/>
        <v>2047</v>
      </c>
      <c r="AW7" s="6">
        <f t="shared" si="0"/>
        <v>2048</v>
      </c>
      <c r="AX7" s="6">
        <f t="shared" si="0"/>
        <v>2049</v>
      </c>
      <c r="AY7" s="6">
        <f t="shared" si="0"/>
        <v>2050</v>
      </c>
      <c r="AZ7" s="6">
        <f t="shared" si="0"/>
        <v>2051</v>
      </c>
      <c r="BA7" s="6">
        <f t="shared" si="0"/>
        <v>2052</v>
      </c>
      <c r="BB7" s="6">
        <f t="shared" si="0"/>
        <v>2053</v>
      </c>
      <c r="BC7" s="6">
        <f t="shared" si="0"/>
        <v>2054</v>
      </c>
      <c r="BD7" s="6">
        <f t="shared" si="0"/>
        <v>2055</v>
      </c>
      <c r="BE7" s="6">
        <f t="shared" si="0"/>
        <v>2056</v>
      </c>
      <c r="BF7" s="6">
        <f t="shared" si="0"/>
        <v>2057</v>
      </c>
      <c r="BG7" s="6">
        <f t="shared" si="0"/>
        <v>2058</v>
      </c>
      <c r="BH7" s="6">
        <f t="shared" si="0"/>
        <v>2059</v>
      </c>
      <c r="BI7" s="6">
        <f t="shared" si="0"/>
        <v>2060</v>
      </c>
      <c r="BJ7" s="6">
        <f t="shared" si="0"/>
        <v>2061</v>
      </c>
    </row>
    <row r="8" spans="1:62">
      <c r="A8" s="157" t="s">
        <v>363</v>
      </c>
      <c r="B8" s="172"/>
      <c r="C8" s="172"/>
      <c r="D8" s="172"/>
      <c r="E8" s="172"/>
      <c r="F8" s="172"/>
      <c r="G8" s="172"/>
      <c r="H8" s="172"/>
      <c r="I8" s="172"/>
      <c r="J8" s="172"/>
      <c r="K8" s="172"/>
      <c r="L8" s="172"/>
      <c r="M8" s="172"/>
      <c r="N8" s="172"/>
      <c r="O8" s="172"/>
      <c r="P8" s="172"/>
      <c r="Q8" s="172"/>
      <c r="R8" s="172"/>
      <c r="S8" s="173"/>
      <c r="T8" s="174">
        <f>'VOC eksploatacja samochody'!T50</f>
        <v>1</v>
      </c>
      <c r="U8" s="175">
        <f>'VOC eksploatacja samochody'!U50</f>
        <v>0.99290909090909085</v>
      </c>
      <c r="V8" s="171">
        <f>'VOC eksploatacja samochody'!V50</f>
        <v>0.9858181818181817</v>
      </c>
      <c r="W8" s="171">
        <f>'VOC eksploatacja samochody'!W50</f>
        <v>0.97872727272727256</v>
      </c>
      <c r="X8" s="171">
        <f>'VOC eksploatacja samochody'!X50</f>
        <v>0.97163636363636341</v>
      </c>
      <c r="Y8" s="171">
        <f>'VOC eksploatacja samochody'!Y50</f>
        <v>0.96454545454545426</v>
      </c>
      <c r="Z8" s="171">
        <f>'VOC eksploatacja samochody'!Z50</f>
        <v>0.95745454545454511</v>
      </c>
      <c r="AA8" s="171">
        <f>'VOC eksploatacja samochody'!AA50</f>
        <v>0.95036363636363597</v>
      </c>
      <c r="AB8" s="171">
        <f>'VOC eksploatacja samochody'!AB50</f>
        <v>0.94327272727272682</v>
      </c>
      <c r="AC8" s="171">
        <f>'VOC eksploatacja samochody'!AC50</f>
        <v>0.93618181818181767</v>
      </c>
      <c r="AD8" s="171">
        <f>'VOC eksploatacja samochody'!AD50</f>
        <v>0.92909090909090852</v>
      </c>
      <c r="AE8" s="174">
        <f>'VOC eksploatacja samochody'!AE50</f>
        <v>0.92199999999999993</v>
      </c>
      <c r="AF8" s="171">
        <f>'VOC eksploatacja samochody'!AF50</f>
        <v>0.90934999999999988</v>
      </c>
      <c r="AG8" s="171">
        <f>'VOC eksploatacja samochody'!AG50</f>
        <v>0.89669999999999983</v>
      </c>
      <c r="AH8" s="171">
        <f>'VOC eksploatacja samochody'!AH50</f>
        <v>0.88404999999999978</v>
      </c>
      <c r="AI8" s="171">
        <f>'VOC eksploatacja samochody'!AI50</f>
        <v>0.87139999999999973</v>
      </c>
      <c r="AJ8" s="171">
        <f>'VOC eksploatacja samochody'!AJ50</f>
        <v>0.85874999999999968</v>
      </c>
      <c r="AK8" s="171">
        <f>'VOC eksploatacja samochody'!AK50</f>
        <v>0.84609999999999963</v>
      </c>
      <c r="AL8" s="171">
        <f>'VOC eksploatacja samochody'!AL50</f>
        <v>0.83344999999999958</v>
      </c>
      <c r="AM8" s="171">
        <f>'VOC eksploatacja samochody'!AM50</f>
        <v>0.82079999999999953</v>
      </c>
      <c r="AN8" s="171">
        <f>'VOC eksploatacja samochody'!AN50</f>
        <v>0.80814999999999948</v>
      </c>
      <c r="AO8" s="171">
        <f>'VOC eksploatacja samochody'!AO50</f>
        <v>0.79549999999999943</v>
      </c>
      <c r="AP8" s="171">
        <f>'VOC eksploatacja samochody'!AP50</f>
        <v>0.78284999999999938</v>
      </c>
      <c r="AQ8" s="171">
        <f>'VOC eksploatacja samochody'!AQ50</f>
        <v>0.77019999999999933</v>
      </c>
      <c r="AR8" s="171">
        <f>'VOC eksploatacja samochody'!AR50</f>
        <v>0.75754999999999928</v>
      </c>
      <c r="AS8" s="171">
        <f>'VOC eksploatacja samochody'!AS50</f>
        <v>0.74489999999999923</v>
      </c>
      <c r="AT8" s="171">
        <f>'VOC eksploatacja samochody'!AT50</f>
        <v>0.73224999999999918</v>
      </c>
      <c r="AU8" s="171">
        <f>'VOC eksploatacja samochody'!AU50</f>
        <v>0.71959999999999913</v>
      </c>
      <c r="AV8" s="171">
        <f>'VOC eksploatacja samochody'!AV50</f>
        <v>0.70694999999999908</v>
      </c>
      <c r="AW8" s="171">
        <f>'VOC eksploatacja samochody'!AW50</f>
        <v>0.69429999999999903</v>
      </c>
      <c r="AX8" s="171">
        <f>'VOC eksploatacja samochody'!AX50</f>
        <v>0.68164999999999898</v>
      </c>
      <c r="AY8" s="174">
        <f>'VOC eksploatacja samochody'!AY50</f>
        <v>0.66900000000000004</v>
      </c>
      <c r="AZ8" s="171">
        <f>'VOC eksploatacja samochody'!AZ50</f>
        <v>0.66900000000000004</v>
      </c>
      <c r="BA8" s="171">
        <f>'VOC eksploatacja samochody'!BA50</f>
        <v>0.66900000000000004</v>
      </c>
      <c r="BB8" s="171">
        <f>'VOC eksploatacja samochody'!BB50</f>
        <v>0.66900000000000004</v>
      </c>
      <c r="BC8" s="171">
        <f>'VOC eksploatacja samochody'!BC50</f>
        <v>0.66900000000000004</v>
      </c>
      <c r="BD8" s="171">
        <f>'VOC eksploatacja samochody'!BD50</f>
        <v>0.66900000000000004</v>
      </c>
      <c r="BE8" s="171">
        <f>'VOC eksploatacja samochody'!BE50</f>
        <v>0.66900000000000004</v>
      </c>
      <c r="BF8" s="171">
        <f>'VOC eksploatacja samochody'!BF50</f>
        <v>0.66900000000000004</v>
      </c>
      <c r="BG8" s="171">
        <f>'VOC eksploatacja samochody'!BG50</f>
        <v>0.66900000000000004</v>
      </c>
      <c r="BH8" s="171">
        <f>'VOC eksploatacja samochody'!BH50</f>
        <v>0.66900000000000004</v>
      </c>
      <c r="BI8" s="171">
        <f>'VOC eksploatacja samochody'!BI50</f>
        <v>0.66900000000000004</v>
      </c>
      <c r="BJ8" s="171">
        <f>'VOC eksploatacja samochody'!BJ50</f>
        <v>0.66900000000000004</v>
      </c>
    </row>
    <row r="9" spans="1:62">
      <c r="A9" s="206" t="s">
        <v>361</v>
      </c>
      <c r="B9" s="201"/>
      <c r="C9" s="201"/>
      <c r="D9" s="201"/>
      <c r="E9" s="201"/>
      <c r="F9" s="201"/>
      <c r="G9" s="201"/>
      <c r="H9" s="201"/>
      <c r="I9" s="201"/>
      <c r="J9" s="201"/>
      <c r="K9" s="201"/>
      <c r="L9" s="201"/>
      <c r="M9" s="201"/>
      <c r="N9" s="201"/>
      <c r="O9" s="201"/>
      <c r="P9" s="201"/>
      <c r="Q9" s="201"/>
      <c r="R9" s="201"/>
      <c r="S9" s="202"/>
      <c r="T9" s="211">
        <f>'VOC eksploatacja samochody'!T51</f>
        <v>0.67903598504544949</v>
      </c>
      <c r="U9" s="204">
        <f>'VOC eksploatacja samochody'!U51</f>
        <v>0.67621453185949953</v>
      </c>
      <c r="V9" s="205">
        <f>'VOC eksploatacja samochody'!V51</f>
        <v>0.67339307867354958</v>
      </c>
      <c r="W9" s="205">
        <f>'VOC eksploatacja samochody'!W51</f>
        <v>0.67057162548759963</v>
      </c>
      <c r="X9" s="205">
        <f>'VOC eksploatacja samochody'!X51</f>
        <v>0.66775017230164968</v>
      </c>
      <c r="Y9" s="205">
        <f>'VOC eksploatacja samochody'!Y51</f>
        <v>0.66492871911569973</v>
      </c>
      <c r="Z9" s="205">
        <f>'VOC eksploatacja samochody'!Z51</f>
        <v>0.66210726592974978</v>
      </c>
      <c r="AA9" s="205">
        <f>'VOC eksploatacja samochody'!AA51</f>
        <v>0.65928581274379983</v>
      </c>
      <c r="AB9" s="205">
        <f>'VOC eksploatacja samochody'!AB51</f>
        <v>0.65646435955784987</v>
      </c>
      <c r="AC9" s="205">
        <f>'VOC eksploatacja samochody'!AC51</f>
        <v>0.65364290637189992</v>
      </c>
      <c r="AD9" s="205">
        <f>'VOC eksploatacja samochody'!AD51</f>
        <v>0.65082145318594997</v>
      </c>
      <c r="AE9" s="211">
        <f>'VOC eksploatacja samochody'!AE51</f>
        <v>0.64799999999999991</v>
      </c>
      <c r="AF9" s="205">
        <f>'VOC eksploatacja samochody'!AF51</f>
        <v>0.64039999999999986</v>
      </c>
      <c r="AG9" s="205">
        <f>'VOC eksploatacja samochody'!AG51</f>
        <v>0.63279999999999981</v>
      </c>
      <c r="AH9" s="205">
        <f>'VOC eksploatacja samochody'!AH51</f>
        <v>0.62519999999999976</v>
      </c>
      <c r="AI9" s="205">
        <f>'VOC eksploatacja samochody'!AI51</f>
        <v>0.6175999999999997</v>
      </c>
      <c r="AJ9" s="205">
        <f>'VOC eksploatacja samochody'!AJ51</f>
        <v>0.60999999999999965</v>
      </c>
      <c r="AK9" s="205">
        <f>'VOC eksploatacja samochody'!AK51</f>
        <v>0.6023999999999996</v>
      </c>
      <c r="AL9" s="205">
        <f>'VOC eksploatacja samochody'!AL51</f>
        <v>0.59479999999999955</v>
      </c>
      <c r="AM9" s="205">
        <f>'VOC eksploatacja samochody'!AM51</f>
        <v>0.5871999999999995</v>
      </c>
      <c r="AN9" s="205">
        <f>'VOC eksploatacja samochody'!AN51</f>
        <v>0.57959999999999945</v>
      </c>
      <c r="AO9" s="205">
        <f>'VOC eksploatacja samochody'!AO51</f>
        <v>0.5719999999999994</v>
      </c>
      <c r="AP9" s="205">
        <f>'VOC eksploatacja samochody'!AP51</f>
        <v>0.56439999999999935</v>
      </c>
      <c r="AQ9" s="205">
        <f>'VOC eksploatacja samochody'!AQ51</f>
        <v>0.5567999999999993</v>
      </c>
      <c r="AR9" s="205">
        <f>'VOC eksploatacja samochody'!AR51</f>
        <v>0.54919999999999924</v>
      </c>
      <c r="AS9" s="205">
        <f>'VOC eksploatacja samochody'!AS51</f>
        <v>0.54159999999999919</v>
      </c>
      <c r="AT9" s="205">
        <f>'VOC eksploatacja samochody'!AT51</f>
        <v>0.53399999999999914</v>
      </c>
      <c r="AU9" s="205">
        <f>'VOC eksploatacja samochody'!AU51</f>
        <v>0.52639999999999909</v>
      </c>
      <c r="AV9" s="205">
        <f>'VOC eksploatacja samochody'!AV51</f>
        <v>0.51879999999999904</v>
      </c>
      <c r="AW9" s="205">
        <f>'VOC eksploatacja samochody'!AW51</f>
        <v>0.51119999999999899</v>
      </c>
      <c r="AX9" s="205">
        <f>'VOC eksploatacja samochody'!AX51</f>
        <v>0.50359999999999894</v>
      </c>
      <c r="AY9" s="211">
        <f>'VOC eksploatacja samochody'!AY51</f>
        <v>0.496</v>
      </c>
      <c r="AZ9" s="205">
        <f>'VOC eksploatacja samochody'!AZ51</f>
        <v>0.496</v>
      </c>
      <c r="BA9" s="205">
        <f>'VOC eksploatacja samochody'!BA51</f>
        <v>0.496</v>
      </c>
      <c r="BB9" s="205">
        <f>'VOC eksploatacja samochody'!BB51</f>
        <v>0.496</v>
      </c>
      <c r="BC9" s="205">
        <f>'VOC eksploatacja samochody'!BC51</f>
        <v>0.496</v>
      </c>
      <c r="BD9" s="205">
        <f>'VOC eksploatacja samochody'!BD51</f>
        <v>0.496</v>
      </c>
      <c r="BE9" s="205">
        <f>'VOC eksploatacja samochody'!BE51</f>
        <v>0.496</v>
      </c>
      <c r="BF9" s="205">
        <f>'VOC eksploatacja samochody'!BF51</f>
        <v>0.496</v>
      </c>
      <c r="BG9" s="205">
        <f>'VOC eksploatacja samochody'!BG51</f>
        <v>0.496</v>
      </c>
      <c r="BH9" s="205">
        <f>'VOC eksploatacja samochody'!BH51</f>
        <v>0.496</v>
      </c>
      <c r="BI9" s="205">
        <f>'VOC eksploatacja samochody'!BI51</f>
        <v>0.496</v>
      </c>
      <c r="BJ9" s="205">
        <f>'VOC eksploatacja samochody'!BJ51</f>
        <v>0.496</v>
      </c>
    </row>
    <row r="10" spans="1:62">
      <c r="A10" s="206" t="s">
        <v>71</v>
      </c>
      <c r="B10" s="201"/>
      <c r="C10" s="201"/>
      <c r="D10" s="201"/>
      <c r="E10" s="201"/>
      <c r="F10" s="201"/>
      <c r="G10" s="201"/>
      <c r="H10" s="201"/>
      <c r="I10" s="201"/>
      <c r="J10" s="201"/>
      <c r="K10" s="201"/>
      <c r="L10" s="201"/>
      <c r="M10" s="201"/>
      <c r="N10" s="201"/>
      <c r="O10" s="201"/>
      <c r="P10" s="201"/>
      <c r="Q10" s="201"/>
      <c r="R10" s="201"/>
      <c r="S10" s="202"/>
      <c r="T10" s="211">
        <f>'VOC eksploatacja samochody'!T52</f>
        <v>0.32096401495455057</v>
      </c>
      <c r="U10" s="204">
        <f>'VOC eksploatacja samochody'!U52</f>
        <v>0.31669455904959143</v>
      </c>
      <c r="V10" s="205">
        <f>'VOC eksploatacja samochody'!V52</f>
        <v>0.31242510314463229</v>
      </c>
      <c r="W10" s="205">
        <f>'VOC eksploatacja samochody'!W52</f>
        <v>0.30815564723967315</v>
      </c>
      <c r="X10" s="205">
        <f>'VOC eksploatacja samochody'!X52</f>
        <v>0.30388619133471401</v>
      </c>
      <c r="Y10" s="205">
        <f>'VOC eksploatacja samochody'!Y52</f>
        <v>0.29961673542975487</v>
      </c>
      <c r="Z10" s="205">
        <f>'VOC eksploatacja samochody'!Z52</f>
        <v>0.29534727952479572</v>
      </c>
      <c r="AA10" s="205">
        <f>'VOC eksploatacja samochody'!AA52</f>
        <v>0.29107782361983658</v>
      </c>
      <c r="AB10" s="205">
        <f>'VOC eksploatacja samochody'!AB52</f>
        <v>0.28680836771487744</v>
      </c>
      <c r="AC10" s="205">
        <f>'VOC eksploatacja samochody'!AC52</f>
        <v>0.2825389118099183</v>
      </c>
      <c r="AD10" s="205">
        <f>'VOC eksploatacja samochody'!AD52</f>
        <v>0.27826945590495916</v>
      </c>
      <c r="AE10" s="211">
        <f>'VOC eksploatacja samochody'!AE52</f>
        <v>0.27400000000000002</v>
      </c>
      <c r="AF10" s="205">
        <f>'VOC eksploatacja samochody'!AF52</f>
        <v>0.26895000000000002</v>
      </c>
      <c r="AG10" s="205">
        <f>'VOC eksploatacja samochody'!AG52</f>
        <v>0.26390000000000002</v>
      </c>
      <c r="AH10" s="205">
        <f>'VOC eksploatacja samochody'!AH52</f>
        <v>0.25885000000000002</v>
      </c>
      <c r="AI10" s="205">
        <f>'VOC eksploatacja samochody'!AI52</f>
        <v>0.25380000000000003</v>
      </c>
      <c r="AJ10" s="205">
        <f>'VOC eksploatacja samochody'!AJ52</f>
        <v>0.24875000000000003</v>
      </c>
      <c r="AK10" s="205">
        <f>'VOC eksploatacja samochody'!AK52</f>
        <v>0.24370000000000003</v>
      </c>
      <c r="AL10" s="205">
        <f>'VOC eksploatacja samochody'!AL52</f>
        <v>0.23865000000000003</v>
      </c>
      <c r="AM10" s="205">
        <f>'VOC eksploatacja samochody'!AM52</f>
        <v>0.23360000000000003</v>
      </c>
      <c r="AN10" s="205">
        <f>'VOC eksploatacja samochody'!AN52</f>
        <v>0.22855000000000003</v>
      </c>
      <c r="AO10" s="205">
        <f>'VOC eksploatacja samochody'!AO52</f>
        <v>0.22350000000000003</v>
      </c>
      <c r="AP10" s="205">
        <f>'VOC eksploatacja samochody'!AP52</f>
        <v>0.21845000000000003</v>
      </c>
      <c r="AQ10" s="205">
        <f>'VOC eksploatacja samochody'!AQ52</f>
        <v>0.21340000000000003</v>
      </c>
      <c r="AR10" s="205">
        <f>'VOC eksploatacja samochody'!AR52</f>
        <v>0.20835000000000004</v>
      </c>
      <c r="AS10" s="205">
        <f>'VOC eksploatacja samochody'!AS52</f>
        <v>0.20330000000000004</v>
      </c>
      <c r="AT10" s="205">
        <f>'VOC eksploatacja samochody'!AT52</f>
        <v>0.19825000000000004</v>
      </c>
      <c r="AU10" s="205">
        <f>'VOC eksploatacja samochody'!AU52</f>
        <v>0.19320000000000004</v>
      </c>
      <c r="AV10" s="205">
        <f>'VOC eksploatacja samochody'!AV52</f>
        <v>0.18815000000000004</v>
      </c>
      <c r="AW10" s="205">
        <f>'VOC eksploatacja samochody'!AW52</f>
        <v>0.18310000000000004</v>
      </c>
      <c r="AX10" s="205">
        <f>'VOC eksploatacja samochody'!AX52</f>
        <v>0.17805000000000004</v>
      </c>
      <c r="AY10" s="211">
        <f>'VOC eksploatacja samochody'!AY52</f>
        <v>0.17299999999999999</v>
      </c>
      <c r="AZ10" s="205">
        <f>'VOC eksploatacja samochody'!AZ52</f>
        <v>0.17299999999999999</v>
      </c>
      <c r="BA10" s="205">
        <f>'VOC eksploatacja samochody'!BA52</f>
        <v>0.17299999999999999</v>
      </c>
      <c r="BB10" s="205">
        <f>'VOC eksploatacja samochody'!BB52</f>
        <v>0.17299999999999999</v>
      </c>
      <c r="BC10" s="205">
        <f>'VOC eksploatacja samochody'!BC52</f>
        <v>0.17299999999999999</v>
      </c>
      <c r="BD10" s="205">
        <f>'VOC eksploatacja samochody'!BD52</f>
        <v>0.17299999999999999</v>
      </c>
      <c r="BE10" s="205">
        <f>'VOC eksploatacja samochody'!BE52</f>
        <v>0.17299999999999999</v>
      </c>
      <c r="BF10" s="205">
        <f>'VOC eksploatacja samochody'!BF52</f>
        <v>0.17299999999999999</v>
      </c>
      <c r="BG10" s="205">
        <f>'VOC eksploatacja samochody'!BG52</f>
        <v>0.17299999999999999</v>
      </c>
      <c r="BH10" s="205">
        <f>'VOC eksploatacja samochody'!BH52</f>
        <v>0.17299999999999999</v>
      </c>
      <c r="BI10" s="205">
        <f>'VOC eksploatacja samochody'!BI52</f>
        <v>0.17299999999999999</v>
      </c>
      <c r="BJ10" s="205">
        <f>'VOC eksploatacja samochody'!BJ52</f>
        <v>0.17299999999999999</v>
      </c>
    </row>
    <row r="11" spans="1:62">
      <c r="A11" s="157" t="s">
        <v>75</v>
      </c>
      <c r="B11" s="172"/>
      <c r="C11" s="172"/>
      <c r="D11" s="172"/>
      <c r="E11" s="172"/>
      <c r="F11" s="172"/>
      <c r="G11" s="172"/>
      <c r="H11" s="172"/>
      <c r="I11" s="172"/>
      <c r="J11" s="172"/>
      <c r="K11" s="172"/>
      <c r="L11" s="172"/>
      <c r="M11" s="172"/>
      <c r="N11" s="172"/>
      <c r="O11" s="172"/>
      <c r="P11" s="172"/>
      <c r="Q11" s="172"/>
      <c r="R11" s="172"/>
      <c r="S11" s="173"/>
      <c r="T11" s="174">
        <f>'VOC eksploatacja samochody'!T53</f>
        <v>0</v>
      </c>
      <c r="U11" s="175">
        <f>'VOC eksploatacja samochody'!U53</f>
        <v>7.0909090909090913E-3</v>
      </c>
      <c r="V11" s="171">
        <f>'VOC eksploatacja samochody'!V53</f>
        <v>1.4181818181818183E-2</v>
      </c>
      <c r="W11" s="171">
        <f>'VOC eksploatacja samochody'!W53</f>
        <v>2.1272727272727273E-2</v>
      </c>
      <c r="X11" s="171">
        <f>'VOC eksploatacja samochody'!X53</f>
        <v>2.8363636363636365E-2</v>
      </c>
      <c r="Y11" s="171">
        <f>'VOC eksploatacja samochody'!Y53</f>
        <v>3.5454545454545454E-2</v>
      </c>
      <c r="Z11" s="171">
        <f>'VOC eksploatacja samochody'!Z53</f>
        <v>4.2545454545454546E-2</v>
      </c>
      <c r="AA11" s="171">
        <f>'VOC eksploatacja samochody'!AA53</f>
        <v>4.9636363636363638E-2</v>
      </c>
      <c r="AB11" s="171">
        <f>'VOC eksploatacja samochody'!AB53</f>
        <v>5.672727272727273E-2</v>
      </c>
      <c r="AC11" s="171">
        <f>'VOC eksploatacja samochody'!AC53</f>
        <v>6.3818181818181816E-2</v>
      </c>
      <c r="AD11" s="171">
        <f>'VOC eksploatacja samochody'!AD53</f>
        <v>7.0909090909090908E-2</v>
      </c>
      <c r="AE11" s="174">
        <f>'VOC eksploatacja samochody'!AE53</f>
        <v>7.8E-2</v>
      </c>
      <c r="AF11" s="171">
        <f>'VOC eksploatacja samochody'!AF53</f>
        <v>9.0649999999999994E-2</v>
      </c>
      <c r="AG11" s="171">
        <f>'VOC eksploatacja samochody'!AG53</f>
        <v>0.10329999999999999</v>
      </c>
      <c r="AH11" s="171">
        <f>'VOC eksploatacja samochody'!AH53</f>
        <v>0.11594999999999998</v>
      </c>
      <c r="AI11" s="171">
        <f>'VOC eksploatacja samochody'!AI53</f>
        <v>0.12859999999999999</v>
      </c>
      <c r="AJ11" s="171">
        <f>'VOC eksploatacja samochody'!AJ53</f>
        <v>0.14124999999999999</v>
      </c>
      <c r="AK11" s="171">
        <f>'VOC eksploatacja samochody'!AK53</f>
        <v>0.15389999999999998</v>
      </c>
      <c r="AL11" s="171">
        <f>'VOC eksploatacja samochody'!AL53</f>
        <v>0.16654999999999998</v>
      </c>
      <c r="AM11" s="171">
        <f>'VOC eksploatacja samochody'!AM53</f>
        <v>0.17919999999999997</v>
      </c>
      <c r="AN11" s="171">
        <f>'VOC eksploatacja samochody'!AN53</f>
        <v>0.19184999999999997</v>
      </c>
      <c r="AO11" s="171">
        <f>'VOC eksploatacja samochody'!AO53</f>
        <v>0.20449999999999996</v>
      </c>
      <c r="AP11" s="171">
        <f>'VOC eksploatacja samochody'!AP53</f>
        <v>0.21714999999999995</v>
      </c>
      <c r="AQ11" s="171">
        <f>'VOC eksploatacja samochody'!AQ53</f>
        <v>0.22979999999999995</v>
      </c>
      <c r="AR11" s="171">
        <f>'VOC eksploatacja samochody'!AR53</f>
        <v>0.24244999999999994</v>
      </c>
      <c r="AS11" s="171">
        <f>'VOC eksploatacja samochody'!AS53</f>
        <v>0.25509999999999994</v>
      </c>
      <c r="AT11" s="171">
        <f>'VOC eksploatacja samochody'!AT53</f>
        <v>0.26774999999999993</v>
      </c>
      <c r="AU11" s="171">
        <f>'VOC eksploatacja samochody'!AU53</f>
        <v>0.28039999999999993</v>
      </c>
      <c r="AV11" s="171">
        <f>'VOC eksploatacja samochody'!AV53</f>
        <v>0.29304999999999992</v>
      </c>
      <c r="AW11" s="171">
        <f>'VOC eksploatacja samochody'!AW53</f>
        <v>0.30569999999999992</v>
      </c>
      <c r="AX11" s="171">
        <f>'VOC eksploatacja samochody'!AX53</f>
        <v>0.31834999999999991</v>
      </c>
      <c r="AY11" s="174">
        <f>'VOC eksploatacja samochody'!AY53</f>
        <v>0.33100000000000002</v>
      </c>
      <c r="AZ11" s="171">
        <f>'VOC eksploatacja samochody'!AZ53</f>
        <v>0.33100000000000002</v>
      </c>
      <c r="BA11" s="171">
        <f>'VOC eksploatacja samochody'!BA53</f>
        <v>0.33100000000000002</v>
      </c>
      <c r="BB11" s="171">
        <f>'VOC eksploatacja samochody'!BB53</f>
        <v>0.33100000000000002</v>
      </c>
      <c r="BC11" s="171">
        <f>'VOC eksploatacja samochody'!BC53</f>
        <v>0.33100000000000002</v>
      </c>
      <c r="BD11" s="171">
        <f>'VOC eksploatacja samochody'!BD53</f>
        <v>0.33100000000000002</v>
      </c>
      <c r="BE11" s="171">
        <f>'VOC eksploatacja samochody'!BE53</f>
        <v>0.33100000000000002</v>
      </c>
      <c r="BF11" s="171">
        <f>'VOC eksploatacja samochody'!BF53</f>
        <v>0.33100000000000002</v>
      </c>
      <c r="BG11" s="171">
        <f>'VOC eksploatacja samochody'!BG53</f>
        <v>0.33100000000000002</v>
      </c>
      <c r="BH11" s="171">
        <f>'VOC eksploatacja samochody'!BH53</f>
        <v>0.33100000000000002</v>
      </c>
      <c r="BI11" s="171">
        <f>'VOC eksploatacja samochody'!BI53</f>
        <v>0.33100000000000002</v>
      </c>
      <c r="BJ11" s="171">
        <f>'VOC eksploatacja samochody'!BJ53</f>
        <v>0.33100000000000002</v>
      </c>
    </row>
    <row r="12" spans="1:62">
      <c r="A12" s="176"/>
      <c r="B12" s="177"/>
      <c r="C12" s="177"/>
      <c r="D12" s="177"/>
      <c r="E12" s="177"/>
      <c r="F12" s="177"/>
      <c r="G12" s="177"/>
      <c r="H12" s="177"/>
      <c r="I12" s="177"/>
      <c r="J12" s="177"/>
      <c r="K12" s="177"/>
      <c r="L12" s="177"/>
      <c r="M12" s="177"/>
      <c r="N12" s="177"/>
      <c r="O12" s="177"/>
      <c r="P12" s="177"/>
      <c r="Q12" s="177"/>
      <c r="R12" s="177"/>
      <c r="S12" s="177"/>
      <c r="T12" s="177" t="b">
        <f>ROUND(SUM(T9:T10),10)=ROUND(T8,10)</f>
        <v>1</v>
      </c>
      <c r="U12" s="177" t="b">
        <f t="shared" ref="U12:BI12" si="1">ROUND(SUM(U9:U10),10)=ROUND(U8,10)</f>
        <v>1</v>
      </c>
      <c r="V12" s="177" t="b">
        <f t="shared" si="1"/>
        <v>1</v>
      </c>
      <c r="W12" s="177" t="b">
        <f t="shared" si="1"/>
        <v>1</v>
      </c>
      <c r="X12" s="177" t="b">
        <f t="shared" si="1"/>
        <v>1</v>
      </c>
      <c r="Y12" s="177" t="b">
        <f t="shared" si="1"/>
        <v>1</v>
      </c>
      <c r="Z12" s="177" t="b">
        <f t="shared" si="1"/>
        <v>1</v>
      </c>
      <c r="AA12" s="177" t="b">
        <f t="shared" si="1"/>
        <v>1</v>
      </c>
      <c r="AB12" s="177" t="b">
        <f t="shared" si="1"/>
        <v>1</v>
      </c>
      <c r="AC12" s="177" t="b">
        <f t="shared" si="1"/>
        <v>1</v>
      </c>
      <c r="AD12" s="177" t="b">
        <f t="shared" si="1"/>
        <v>1</v>
      </c>
      <c r="AE12" s="177" t="b">
        <f t="shared" si="1"/>
        <v>1</v>
      </c>
      <c r="AF12" s="177" t="b">
        <f t="shared" si="1"/>
        <v>1</v>
      </c>
      <c r="AG12" s="177" t="b">
        <f t="shared" si="1"/>
        <v>1</v>
      </c>
      <c r="AH12" s="177" t="b">
        <f t="shared" si="1"/>
        <v>1</v>
      </c>
      <c r="AI12" s="177" t="b">
        <f t="shared" si="1"/>
        <v>1</v>
      </c>
      <c r="AJ12" s="177" t="b">
        <f t="shared" si="1"/>
        <v>1</v>
      </c>
      <c r="AK12" s="177" t="b">
        <f t="shared" si="1"/>
        <v>1</v>
      </c>
      <c r="AL12" s="177" t="b">
        <f t="shared" si="1"/>
        <v>1</v>
      </c>
      <c r="AM12" s="177" t="b">
        <f t="shared" si="1"/>
        <v>1</v>
      </c>
      <c r="AN12" s="177" t="b">
        <f t="shared" si="1"/>
        <v>1</v>
      </c>
      <c r="AO12" s="177" t="b">
        <f t="shared" si="1"/>
        <v>1</v>
      </c>
      <c r="AP12" s="177" t="b">
        <f t="shared" si="1"/>
        <v>1</v>
      </c>
      <c r="AQ12" s="177" t="b">
        <f t="shared" si="1"/>
        <v>1</v>
      </c>
      <c r="AR12" s="177" t="b">
        <f t="shared" si="1"/>
        <v>1</v>
      </c>
      <c r="AS12" s="177" t="b">
        <f t="shared" si="1"/>
        <v>1</v>
      </c>
      <c r="AT12" s="177" t="b">
        <f t="shared" si="1"/>
        <v>1</v>
      </c>
      <c r="AU12" s="177" t="b">
        <f t="shared" si="1"/>
        <v>1</v>
      </c>
      <c r="AV12" s="177" t="b">
        <f t="shared" si="1"/>
        <v>1</v>
      </c>
      <c r="AW12" s="177" t="b">
        <f t="shared" si="1"/>
        <v>1</v>
      </c>
      <c r="AX12" s="177" t="b">
        <f t="shared" si="1"/>
        <v>1</v>
      </c>
      <c r="AY12" s="177" t="b">
        <f t="shared" si="1"/>
        <v>1</v>
      </c>
      <c r="AZ12" s="177" t="b">
        <f t="shared" si="1"/>
        <v>1</v>
      </c>
      <c r="BA12" s="177" t="b">
        <f t="shared" si="1"/>
        <v>1</v>
      </c>
      <c r="BB12" s="177" t="b">
        <f t="shared" si="1"/>
        <v>1</v>
      </c>
      <c r="BC12" s="177" t="b">
        <f t="shared" si="1"/>
        <v>1</v>
      </c>
      <c r="BD12" s="177" t="b">
        <f t="shared" si="1"/>
        <v>1</v>
      </c>
      <c r="BE12" s="177" t="b">
        <f t="shared" si="1"/>
        <v>1</v>
      </c>
      <c r="BF12" s="177" t="b">
        <f t="shared" si="1"/>
        <v>1</v>
      </c>
      <c r="BG12" s="177" t="b">
        <f t="shared" si="1"/>
        <v>1</v>
      </c>
      <c r="BH12" s="177" t="b">
        <f t="shared" si="1"/>
        <v>1</v>
      </c>
      <c r="BI12" s="177" t="b">
        <f t="shared" si="1"/>
        <v>1</v>
      </c>
      <c r="BJ12" s="177" t="b">
        <f t="shared" ref="BJ12" si="2">ROUND(SUM(BJ9:BJ10),10)=ROUND(BJ8,10)</f>
        <v>1</v>
      </c>
    </row>
    <row r="13" spans="1:62">
      <c r="A13" s="168" t="str">
        <f>'VOC eksploatacja samochody'!$A$55</f>
        <v>Struktura floty pojazdów HGV</v>
      </c>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454"/>
    </row>
    <row r="14" spans="1:62">
      <c r="A14" s="9" t="s">
        <v>70</v>
      </c>
      <c r="B14" s="508" t="s">
        <v>0</v>
      </c>
      <c r="C14" s="2"/>
      <c r="D14" s="2"/>
      <c r="E14" s="2"/>
      <c r="F14" s="2"/>
      <c r="G14" s="2"/>
      <c r="H14" s="2"/>
      <c r="I14" s="2"/>
      <c r="J14" s="2"/>
      <c r="K14" s="2"/>
      <c r="L14" s="2"/>
      <c r="M14" s="2"/>
      <c r="N14" s="2"/>
      <c r="O14" s="2"/>
      <c r="P14" s="2"/>
      <c r="Q14" s="6"/>
      <c r="R14" s="6"/>
      <c r="S14" s="6"/>
      <c r="T14" s="6">
        <v>2019</v>
      </c>
      <c r="U14" s="6">
        <f t="shared" ref="U14:BJ14" si="3">T14+1</f>
        <v>2020</v>
      </c>
      <c r="V14" s="6">
        <f t="shared" si="3"/>
        <v>2021</v>
      </c>
      <c r="W14" s="6">
        <f t="shared" si="3"/>
        <v>2022</v>
      </c>
      <c r="X14" s="6">
        <f t="shared" si="3"/>
        <v>2023</v>
      </c>
      <c r="Y14" s="6">
        <f t="shared" si="3"/>
        <v>2024</v>
      </c>
      <c r="Z14" s="6">
        <f t="shared" si="3"/>
        <v>2025</v>
      </c>
      <c r="AA14" s="6">
        <f t="shared" si="3"/>
        <v>2026</v>
      </c>
      <c r="AB14" s="6">
        <f t="shared" si="3"/>
        <v>2027</v>
      </c>
      <c r="AC14" s="6">
        <f t="shared" si="3"/>
        <v>2028</v>
      </c>
      <c r="AD14" s="6">
        <f t="shared" si="3"/>
        <v>2029</v>
      </c>
      <c r="AE14" s="6">
        <f t="shared" si="3"/>
        <v>2030</v>
      </c>
      <c r="AF14" s="6">
        <f t="shared" si="3"/>
        <v>2031</v>
      </c>
      <c r="AG14" s="6">
        <f t="shared" si="3"/>
        <v>2032</v>
      </c>
      <c r="AH14" s="6">
        <f t="shared" si="3"/>
        <v>2033</v>
      </c>
      <c r="AI14" s="6">
        <f t="shared" si="3"/>
        <v>2034</v>
      </c>
      <c r="AJ14" s="6">
        <f t="shared" si="3"/>
        <v>2035</v>
      </c>
      <c r="AK14" s="6">
        <f t="shared" si="3"/>
        <v>2036</v>
      </c>
      <c r="AL14" s="6">
        <f t="shared" si="3"/>
        <v>2037</v>
      </c>
      <c r="AM14" s="6">
        <f t="shared" si="3"/>
        <v>2038</v>
      </c>
      <c r="AN14" s="6">
        <f t="shared" si="3"/>
        <v>2039</v>
      </c>
      <c r="AO14" s="6">
        <f t="shared" si="3"/>
        <v>2040</v>
      </c>
      <c r="AP14" s="6">
        <f t="shared" si="3"/>
        <v>2041</v>
      </c>
      <c r="AQ14" s="6">
        <f t="shared" si="3"/>
        <v>2042</v>
      </c>
      <c r="AR14" s="6">
        <f t="shared" si="3"/>
        <v>2043</v>
      </c>
      <c r="AS14" s="6">
        <f t="shared" si="3"/>
        <v>2044</v>
      </c>
      <c r="AT14" s="6">
        <f t="shared" si="3"/>
        <v>2045</v>
      </c>
      <c r="AU14" s="6">
        <f t="shared" si="3"/>
        <v>2046</v>
      </c>
      <c r="AV14" s="6">
        <f t="shared" si="3"/>
        <v>2047</v>
      </c>
      <c r="AW14" s="6">
        <f t="shared" si="3"/>
        <v>2048</v>
      </c>
      <c r="AX14" s="6">
        <f t="shared" si="3"/>
        <v>2049</v>
      </c>
      <c r="AY14" s="6">
        <f t="shared" si="3"/>
        <v>2050</v>
      </c>
      <c r="AZ14" s="6">
        <f t="shared" si="3"/>
        <v>2051</v>
      </c>
      <c r="BA14" s="6">
        <f t="shared" si="3"/>
        <v>2052</v>
      </c>
      <c r="BB14" s="6">
        <f t="shared" si="3"/>
        <v>2053</v>
      </c>
      <c r="BC14" s="6">
        <f t="shared" si="3"/>
        <v>2054</v>
      </c>
      <c r="BD14" s="6">
        <f t="shared" si="3"/>
        <v>2055</v>
      </c>
      <c r="BE14" s="6">
        <f t="shared" si="3"/>
        <v>2056</v>
      </c>
      <c r="BF14" s="6">
        <f t="shared" si="3"/>
        <v>2057</v>
      </c>
      <c r="BG14" s="6">
        <f t="shared" si="3"/>
        <v>2058</v>
      </c>
      <c r="BH14" s="6">
        <f t="shared" si="3"/>
        <v>2059</v>
      </c>
      <c r="BI14" s="6">
        <f t="shared" si="3"/>
        <v>2060</v>
      </c>
      <c r="BJ14" s="6">
        <f t="shared" si="3"/>
        <v>2061</v>
      </c>
    </row>
    <row r="15" spans="1:62">
      <c r="A15" s="157" t="s">
        <v>87</v>
      </c>
      <c r="B15" s="172"/>
      <c r="C15" s="172"/>
      <c r="D15" s="172"/>
      <c r="E15" s="172"/>
      <c r="F15" s="172"/>
      <c r="G15" s="172"/>
      <c r="H15" s="172"/>
      <c r="I15" s="172"/>
      <c r="J15" s="172"/>
      <c r="K15" s="172"/>
      <c r="L15" s="172"/>
      <c r="M15" s="172"/>
      <c r="N15" s="172"/>
      <c r="O15" s="172"/>
      <c r="P15" s="172"/>
      <c r="Q15" s="172"/>
      <c r="R15" s="172"/>
      <c r="S15" s="173"/>
      <c r="T15" s="174">
        <f>'VOC eksploatacja samochody'!T57</f>
        <v>1</v>
      </c>
      <c r="U15" s="175">
        <f>'VOC eksploatacja samochody'!U57</f>
        <v>1</v>
      </c>
      <c r="V15" s="171">
        <f>'VOC eksploatacja samochody'!V57</f>
        <v>1</v>
      </c>
      <c r="W15" s="171">
        <f>'VOC eksploatacja samochody'!W57</f>
        <v>1</v>
      </c>
      <c r="X15" s="171">
        <f>'VOC eksploatacja samochody'!X57</f>
        <v>1</v>
      </c>
      <c r="Y15" s="171">
        <f>'VOC eksploatacja samochody'!Y57</f>
        <v>1</v>
      </c>
      <c r="Z15" s="171">
        <f>'VOC eksploatacja samochody'!Z57</f>
        <v>1</v>
      </c>
      <c r="AA15" s="171">
        <f>'VOC eksploatacja samochody'!AA57</f>
        <v>1</v>
      </c>
      <c r="AB15" s="171">
        <f>'VOC eksploatacja samochody'!AB57</f>
        <v>1</v>
      </c>
      <c r="AC15" s="171">
        <f>'VOC eksploatacja samochody'!AC57</f>
        <v>1</v>
      </c>
      <c r="AD15" s="171">
        <f>'VOC eksploatacja samochody'!AD57</f>
        <v>1</v>
      </c>
      <c r="AE15" s="174">
        <f>'VOC eksploatacja samochody'!AE57</f>
        <v>1</v>
      </c>
      <c r="AF15" s="171">
        <f>'VOC eksploatacja samochody'!AF57</f>
        <v>1</v>
      </c>
      <c r="AG15" s="171">
        <f>'VOC eksploatacja samochody'!AG57</f>
        <v>1</v>
      </c>
      <c r="AH15" s="171">
        <f>'VOC eksploatacja samochody'!AH57</f>
        <v>1</v>
      </c>
      <c r="AI15" s="171">
        <f>'VOC eksploatacja samochody'!AI57</f>
        <v>1</v>
      </c>
      <c r="AJ15" s="171">
        <f>'VOC eksploatacja samochody'!AJ57</f>
        <v>1</v>
      </c>
      <c r="AK15" s="171">
        <f>'VOC eksploatacja samochody'!AK57</f>
        <v>1</v>
      </c>
      <c r="AL15" s="171">
        <f>'VOC eksploatacja samochody'!AL57</f>
        <v>1</v>
      </c>
      <c r="AM15" s="171">
        <f>'VOC eksploatacja samochody'!AM57</f>
        <v>1</v>
      </c>
      <c r="AN15" s="171">
        <f>'VOC eksploatacja samochody'!AN57</f>
        <v>1</v>
      </c>
      <c r="AO15" s="171">
        <f>'VOC eksploatacja samochody'!AO57</f>
        <v>1</v>
      </c>
      <c r="AP15" s="171">
        <f>'VOC eksploatacja samochody'!AP57</f>
        <v>1</v>
      </c>
      <c r="AQ15" s="171">
        <f>'VOC eksploatacja samochody'!AQ57</f>
        <v>1</v>
      </c>
      <c r="AR15" s="171">
        <f>'VOC eksploatacja samochody'!AR57</f>
        <v>1</v>
      </c>
      <c r="AS15" s="171">
        <f>'VOC eksploatacja samochody'!AS57</f>
        <v>1</v>
      </c>
      <c r="AT15" s="171">
        <f>'VOC eksploatacja samochody'!AT57</f>
        <v>1</v>
      </c>
      <c r="AU15" s="171">
        <f>'VOC eksploatacja samochody'!AU57</f>
        <v>1</v>
      </c>
      <c r="AV15" s="171">
        <f>'VOC eksploatacja samochody'!AV57</f>
        <v>1</v>
      </c>
      <c r="AW15" s="171">
        <f>'VOC eksploatacja samochody'!AW57</f>
        <v>1</v>
      </c>
      <c r="AX15" s="171">
        <f>'VOC eksploatacja samochody'!AX57</f>
        <v>1</v>
      </c>
      <c r="AY15" s="174">
        <f>'VOC eksploatacja samochody'!AY57</f>
        <v>1</v>
      </c>
      <c r="AZ15" s="171">
        <f>'VOC eksploatacja samochody'!AZ57</f>
        <v>1</v>
      </c>
      <c r="BA15" s="171">
        <f>'VOC eksploatacja samochody'!BA57</f>
        <v>1</v>
      </c>
      <c r="BB15" s="171">
        <f>'VOC eksploatacja samochody'!BB57</f>
        <v>1</v>
      </c>
      <c r="BC15" s="171">
        <f>'VOC eksploatacja samochody'!BC57</f>
        <v>1</v>
      </c>
      <c r="BD15" s="171">
        <f>'VOC eksploatacja samochody'!BD57</f>
        <v>1</v>
      </c>
      <c r="BE15" s="171">
        <f>'VOC eksploatacja samochody'!BE57</f>
        <v>1</v>
      </c>
      <c r="BF15" s="171">
        <f>'VOC eksploatacja samochody'!BF57</f>
        <v>1</v>
      </c>
      <c r="BG15" s="171">
        <f>'VOC eksploatacja samochody'!BG57</f>
        <v>1</v>
      </c>
      <c r="BH15" s="171">
        <f>'VOC eksploatacja samochody'!BH57</f>
        <v>1</v>
      </c>
      <c r="BI15" s="171">
        <f>'VOC eksploatacja samochody'!BI57</f>
        <v>1</v>
      </c>
      <c r="BJ15" s="171">
        <f>'VOC eksploatacja samochody'!BJ57</f>
        <v>1</v>
      </c>
    </row>
    <row r="16" spans="1:62">
      <c r="A16" s="157" t="s">
        <v>75</v>
      </c>
      <c r="B16" s="172"/>
      <c r="C16" s="172"/>
      <c r="D16" s="172"/>
      <c r="E16" s="172"/>
      <c r="F16" s="172"/>
      <c r="G16" s="172"/>
      <c r="H16" s="172"/>
      <c r="I16" s="172"/>
      <c r="J16" s="172"/>
      <c r="K16" s="172"/>
      <c r="L16" s="172"/>
      <c r="M16" s="172"/>
      <c r="N16" s="172"/>
      <c r="O16" s="172"/>
      <c r="P16" s="172"/>
      <c r="Q16" s="172"/>
      <c r="R16" s="172"/>
      <c r="S16" s="173"/>
      <c r="T16" s="174">
        <f>'VOC eksploatacja samochody'!T58</f>
        <v>0</v>
      </c>
      <c r="U16" s="175">
        <f>'VOC eksploatacja samochody'!U58</f>
        <v>0</v>
      </c>
      <c r="V16" s="171">
        <f>'VOC eksploatacja samochody'!V58</f>
        <v>0</v>
      </c>
      <c r="W16" s="171">
        <f>'VOC eksploatacja samochody'!W58</f>
        <v>0</v>
      </c>
      <c r="X16" s="171">
        <f>'VOC eksploatacja samochody'!X58</f>
        <v>0</v>
      </c>
      <c r="Y16" s="171">
        <f>'VOC eksploatacja samochody'!Y58</f>
        <v>0</v>
      </c>
      <c r="Z16" s="171">
        <f>'VOC eksploatacja samochody'!Z58</f>
        <v>0</v>
      </c>
      <c r="AA16" s="171">
        <f>'VOC eksploatacja samochody'!AA58</f>
        <v>0</v>
      </c>
      <c r="AB16" s="171">
        <f>'VOC eksploatacja samochody'!AB58</f>
        <v>0</v>
      </c>
      <c r="AC16" s="171">
        <f>'VOC eksploatacja samochody'!AC58</f>
        <v>0</v>
      </c>
      <c r="AD16" s="171">
        <f>'VOC eksploatacja samochody'!AD58</f>
        <v>0</v>
      </c>
      <c r="AE16" s="174">
        <f>'VOC eksploatacja samochody'!AE58</f>
        <v>0</v>
      </c>
      <c r="AF16" s="171">
        <f>'VOC eksploatacja samochody'!AF58</f>
        <v>0</v>
      </c>
      <c r="AG16" s="171">
        <f>'VOC eksploatacja samochody'!AG58</f>
        <v>0</v>
      </c>
      <c r="AH16" s="171">
        <f>'VOC eksploatacja samochody'!AH58</f>
        <v>0</v>
      </c>
      <c r="AI16" s="171">
        <f>'VOC eksploatacja samochody'!AI58</f>
        <v>0</v>
      </c>
      <c r="AJ16" s="171">
        <f>'VOC eksploatacja samochody'!AJ58</f>
        <v>0</v>
      </c>
      <c r="AK16" s="171">
        <f>'VOC eksploatacja samochody'!AK58</f>
        <v>0</v>
      </c>
      <c r="AL16" s="171">
        <f>'VOC eksploatacja samochody'!AL58</f>
        <v>0</v>
      </c>
      <c r="AM16" s="171">
        <f>'VOC eksploatacja samochody'!AM58</f>
        <v>0</v>
      </c>
      <c r="AN16" s="171">
        <f>'VOC eksploatacja samochody'!AN58</f>
        <v>0</v>
      </c>
      <c r="AO16" s="171">
        <f>'VOC eksploatacja samochody'!AO58</f>
        <v>0</v>
      </c>
      <c r="AP16" s="171">
        <f>'VOC eksploatacja samochody'!AP58</f>
        <v>0</v>
      </c>
      <c r="AQ16" s="171">
        <f>'VOC eksploatacja samochody'!AQ58</f>
        <v>0</v>
      </c>
      <c r="AR16" s="171">
        <f>'VOC eksploatacja samochody'!AR58</f>
        <v>0</v>
      </c>
      <c r="AS16" s="171">
        <f>'VOC eksploatacja samochody'!AS58</f>
        <v>0</v>
      </c>
      <c r="AT16" s="171">
        <f>'VOC eksploatacja samochody'!AT58</f>
        <v>0</v>
      </c>
      <c r="AU16" s="171">
        <f>'VOC eksploatacja samochody'!AU58</f>
        <v>0</v>
      </c>
      <c r="AV16" s="171">
        <f>'VOC eksploatacja samochody'!AV58</f>
        <v>0</v>
      </c>
      <c r="AW16" s="171">
        <f>'VOC eksploatacja samochody'!AW58</f>
        <v>0</v>
      </c>
      <c r="AX16" s="171">
        <f>'VOC eksploatacja samochody'!AX58</f>
        <v>0</v>
      </c>
      <c r="AY16" s="174">
        <f>'VOC eksploatacja samochody'!AY58</f>
        <v>0</v>
      </c>
      <c r="AZ16" s="171">
        <f>'VOC eksploatacja samochody'!AZ58</f>
        <v>0</v>
      </c>
      <c r="BA16" s="171">
        <f>'VOC eksploatacja samochody'!BA58</f>
        <v>0</v>
      </c>
      <c r="BB16" s="171">
        <f>'VOC eksploatacja samochody'!BB58</f>
        <v>0</v>
      </c>
      <c r="BC16" s="171">
        <f>'VOC eksploatacja samochody'!BC58</f>
        <v>0</v>
      </c>
      <c r="BD16" s="171">
        <f>'VOC eksploatacja samochody'!BD58</f>
        <v>0</v>
      </c>
      <c r="BE16" s="171">
        <f>'VOC eksploatacja samochody'!BE58</f>
        <v>0</v>
      </c>
      <c r="BF16" s="171">
        <f>'VOC eksploatacja samochody'!BF58</f>
        <v>0</v>
      </c>
      <c r="BG16" s="171">
        <f>'VOC eksploatacja samochody'!BG58</f>
        <v>0</v>
      </c>
      <c r="BH16" s="171">
        <f>'VOC eksploatacja samochody'!BH58</f>
        <v>0</v>
      </c>
      <c r="BI16" s="171">
        <f>'VOC eksploatacja samochody'!BI58</f>
        <v>0</v>
      </c>
      <c r="BJ16" s="171">
        <f>'VOC eksploatacja samochody'!BJ58</f>
        <v>0</v>
      </c>
    </row>
    <row r="17" spans="1:22"/>
    <row r="18" spans="1:22">
      <c r="A18" s="645" t="str">
        <f>'VOC eksploatacja samochody'!$A$60</f>
        <v xml:space="preserve">W poniższych tabelach dane dla pojazdów drogowych spalinowych dotyczą całości reprezentatywnej floty pojazdów w Polsce z 2019 roku, z uwzględnieniem wszystkich rodzajów paliw. </v>
      </c>
      <c r="B18" s="645"/>
      <c r="C18" s="645"/>
      <c r="D18" s="645"/>
      <c r="E18" s="645"/>
      <c r="F18" s="645"/>
      <c r="G18" s="645"/>
      <c r="H18" s="645"/>
      <c r="I18" s="645"/>
      <c r="J18" s="645"/>
      <c r="K18" s="645"/>
      <c r="L18" s="645"/>
      <c r="M18" s="645"/>
      <c r="N18" s="645"/>
      <c r="O18" s="645"/>
      <c r="P18" s="645"/>
      <c r="Q18" s="645"/>
      <c r="R18" s="645"/>
      <c r="S18" s="645"/>
      <c r="T18" s="645"/>
      <c r="U18" s="645"/>
      <c r="V18" s="645"/>
    </row>
    <row r="19" spans="1:22" s="513" customFormat="1">
      <c r="A19" s="645"/>
      <c r="B19" s="645"/>
      <c r="C19" s="645"/>
      <c r="D19" s="645"/>
      <c r="E19" s="645"/>
      <c r="F19" s="645"/>
      <c r="G19" s="645"/>
      <c r="H19" s="645"/>
      <c r="I19" s="645"/>
      <c r="J19" s="645"/>
      <c r="K19" s="645"/>
      <c r="L19" s="645"/>
      <c r="M19" s="645"/>
      <c r="N19" s="645"/>
      <c r="O19" s="645"/>
      <c r="P19" s="645"/>
      <c r="Q19" s="645"/>
      <c r="R19" s="645"/>
      <c r="S19" s="645"/>
      <c r="T19" s="645"/>
      <c r="U19" s="645"/>
      <c r="V19" s="645"/>
    </row>
    <row r="20" spans="1:22">
      <c r="A20" s="645" t="str">
        <f>'VOC eksploatacja samochody'!$A$62</f>
        <v xml:space="preserve">Dla uproszczenia należy przyjąć, że aktualnie udział pojazdów elektrycznych (w tym również hybrydowych-elektrycznych) w całej flocie pojazdów poruszających się po drogach w Polsce wynosi 0%. </v>
      </c>
      <c r="B20" s="645"/>
      <c r="C20" s="645"/>
      <c r="D20" s="645"/>
      <c r="E20" s="645"/>
      <c r="F20" s="645"/>
      <c r="G20" s="645"/>
      <c r="H20" s="645"/>
      <c r="I20" s="645"/>
      <c r="J20" s="645"/>
      <c r="K20" s="645"/>
      <c r="L20" s="645"/>
      <c r="M20" s="645"/>
      <c r="N20" s="645"/>
      <c r="O20" s="645"/>
      <c r="P20" s="645"/>
      <c r="Q20" s="645"/>
      <c r="R20" s="645"/>
      <c r="S20" s="645"/>
      <c r="T20" s="645"/>
      <c r="U20" s="645"/>
      <c r="V20" s="645"/>
    </row>
    <row r="21" spans="1:22" s="513" customFormat="1">
      <c r="A21" s="645"/>
      <c r="B21" s="645"/>
      <c r="C21" s="645"/>
      <c r="D21" s="645"/>
      <c r="E21" s="645"/>
      <c r="F21" s="645"/>
      <c r="G21" s="645"/>
      <c r="H21" s="645"/>
      <c r="I21" s="645"/>
      <c r="J21" s="645"/>
      <c r="K21" s="645"/>
      <c r="L21" s="645"/>
      <c r="M21" s="645"/>
      <c r="N21" s="645"/>
      <c r="O21" s="645"/>
      <c r="P21" s="645"/>
      <c r="Q21" s="645"/>
      <c r="R21" s="645"/>
      <c r="S21" s="645"/>
      <c r="T21" s="645"/>
      <c r="U21" s="645"/>
      <c r="V21" s="645"/>
    </row>
    <row r="22" spans="1:22">
      <c r="A22" s="315"/>
    </row>
    <row r="23" spans="1:22">
      <c r="A23" s="315" t="str">
        <f>'VOC eksploatacja samochody'!$A$65</f>
        <v xml:space="preserve">Dla potrzeb analizy projektów przedstawianych do oceny przez CUPT należy przyjąć następujące założenia: </v>
      </c>
    </row>
    <row r="24" spans="1:22">
      <c r="A24" s="140" t="str">
        <f>'VOC eksploatacja samochody'!$A$66</f>
        <v xml:space="preserve">Wskaźniki zużycia paliwa przez pojazdy spalinowe (łącznie dla wszystkich rodzajów paliw) pozostaną na wyjściowym poziomie (2019). </v>
      </c>
    </row>
    <row r="25" spans="1:22">
      <c r="A25" s="140" t="str">
        <f>'VOC eksploatacja samochody'!$A$67</f>
        <v xml:space="preserve">Aktualnie flota pojazdów drogowych składa się w 100% zpojazdów spalinowych i 0% pojazdów elektrycznych. </v>
      </c>
    </row>
    <row r="26" spans="1:22">
      <c r="A26" s="684" t="str">
        <f>'VOC eksploatacja samochody'!$A$68</f>
        <v xml:space="preserve">We flocie samochodów osobowych udziały pojazdów elektrycznych będą rosły, a pojazdów spalinowych – malały (w tym samym tempie dla wszystkich rodzajów paliw), zgodnie z przyjętym scenariuszem prognoz. </v>
      </c>
      <c r="B26" s="684"/>
      <c r="C26" s="684"/>
      <c r="D26" s="684"/>
      <c r="E26" s="684"/>
      <c r="F26" s="684"/>
      <c r="G26" s="684"/>
      <c r="H26" s="684"/>
      <c r="I26" s="684"/>
      <c r="J26" s="684"/>
      <c r="K26" s="684"/>
      <c r="L26" s="684"/>
      <c r="M26" s="684"/>
      <c r="N26" s="684"/>
      <c r="O26" s="684"/>
      <c r="P26" s="684"/>
      <c r="Q26" s="684"/>
      <c r="R26" s="684"/>
      <c r="S26" s="684"/>
      <c r="T26" s="684"/>
      <c r="U26" s="684"/>
      <c r="V26" s="684"/>
    </row>
    <row r="27" spans="1:22" s="513" customFormat="1">
      <c r="A27" s="684"/>
      <c r="B27" s="684"/>
      <c r="C27" s="684"/>
      <c r="D27" s="684"/>
      <c r="E27" s="684"/>
      <c r="F27" s="684"/>
      <c r="G27" s="684"/>
      <c r="H27" s="684"/>
      <c r="I27" s="684"/>
      <c r="J27" s="684"/>
      <c r="K27" s="684"/>
      <c r="L27" s="684"/>
      <c r="M27" s="684"/>
      <c r="N27" s="684"/>
      <c r="O27" s="684"/>
      <c r="P27" s="684"/>
      <c r="Q27" s="684"/>
      <c r="R27" s="684"/>
      <c r="S27" s="684"/>
      <c r="T27" s="684"/>
      <c r="U27" s="684"/>
      <c r="V27" s="684"/>
    </row>
    <row r="28" spans="1:22">
      <c r="A28" s="684" t="str">
        <f>'VOC eksploatacja samochody'!$A$70</f>
        <v xml:space="preserve">Pomiędzy stanem aktualnym i rokiem 2030, a następnie pomiędzy latami scenariusza 2030 i 2050, udziały będą się zmieniały według interpolacji liniowej. Dla dalszych lat należy przyjąć strukturę jak w roku 2050. </v>
      </c>
      <c r="B28" s="684"/>
      <c r="C28" s="684"/>
      <c r="D28" s="684"/>
      <c r="E28" s="684"/>
      <c r="F28" s="684"/>
      <c r="G28" s="684"/>
      <c r="H28" s="684"/>
      <c r="I28" s="684"/>
      <c r="J28" s="684"/>
      <c r="K28" s="684"/>
      <c r="L28" s="684"/>
      <c r="M28" s="684"/>
      <c r="N28" s="684"/>
      <c r="O28" s="684"/>
      <c r="P28" s="684"/>
      <c r="Q28" s="684"/>
      <c r="R28" s="684"/>
      <c r="S28" s="684"/>
      <c r="T28" s="684"/>
      <c r="U28" s="684"/>
      <c r="V28" s="684"/>
    </row>
    <row r="29" spans="1:22" s="513" customFormat="1">
      <c r="A29" s="684"/>
      <c r="B29" s="684"/>
      <c r="C29" s="684"/>
      <c r="D29" s="684"/>
      <c r="E29" s="684"/>
      <c r="F29" s="684"/>
      <c r="G29" s="684"/>
      <c r="H29" s="684"/>
      <c r="I29" s="684"/>
      <c r="J29" s="684"/>
      <c r="K29" s="684"/>
      <c r="L29" s="684"/>
      <c r="M29" s="684"/>
      <c r="N29" s="684"/>
      <c r="O29" s="684"/>
      <c r="P29" s="684"/>
      <c r="Q29" s="684"/>
      <c r="R29" s="684"/>
      <c r="S29" s="684"/>
      <c r="T29" s="684"/>
      <c r="U29" s="684"/>
      <c r="V29" s="684"/>
    </row>
    <row r="30" spans="1:22">
      <c r="A30" s="454"/>
    </row>
    <row r="31" spans="1:22"/>
    <row r="32" spans="1:22"/>
    <row r="33" spans="1:22" hidden="1" outlineLevel="1">
      <c r="A33" s="1" t="s">
        <v>174</v>
      </c>
      <c r="B33" s="315"/>
      <c r="C33" s="315"/>
      <c r="D33" s="315"/>
      <c r="E33" s="315"/>
      <c r="F33" s="315"/>
      <c r="G33" s="315"/>
      <c r="H33" s="315"/>
      <c r="I33" s="315"/>
      <c r="J33" s="315"/>
      <c r="K33" s="315"/>
      <c r="L33" s="315"/>
      <c r="M33" s="315"/>
      <c r="N33" s="315"/>
      <c r="O33" s="315"/>
      <c r="P33" s="315"/>
      <c r="Q33" s="315"/>
      <c r="R33" s="315"/>
    </row>
    <row r="34" spans="1:22" s="340" customFormat="1" hidden="1" outlineLevel="1">
      <c r="A34" s="1"/>
      <c r="P34" s="690" t="s">
        <v>169</v>
      </c>
      <c r="Q34" s="691"/>
      <c r="R34" s="692"/>
      <c r="T34" s="690" t="s">
        <v>64</v>
      </c>
      <c r="U34" s="691"/>
      <c r="V34" s="692"/>
    </row>
    <row r="35" spans="1:22" ht="45" hidden="1" customHeight="1" outlineLevel="1">
      <c r="A35" s="222"/>
      <c r="B35" s="224" t="s">
        <v>115</v>
      </c>
      <c r="C35" s="223"/>
      <c r="D35" s="223"/>
      <c r="E35" s="223"/>
      <c r="F35" s="223"/>
      <c r="G35" s="223"/>
      <c r="H35" s="223"/>
      <c r="I35" s="223"/>
      <c r="J35" s="223"/>
      <c r="K35" s="223"/>
      <c r="L35" s="223"/>
      <c r="M35" s="223"/>
      <c r="N35" s="223"/>
      <c r="O35" s="223"/>
      <c r="P35" s="224" t="s">
        <v>472</v>
      </c>
      <c r="Q35" s="224" t="s">
        <v>473</v>
      </c>
      <c r="R35" s="224" t="s">
        <v>474</v>
      </c>
      <c r="S35" s="351" t="s">
        <v>172</v>
      </c>
      <c r="T35" s="224" t="s">
        <v>472</v>
      </c>
      <c r="U35" s="224" t="s">
        <v>473</v>
      </c>
      <c r="V35" s="224" t="s">
        <v>474</v>
      </c>
    </row>
    <row r="36" spans="1:22" hidden="1" outlineLevel="1">
      <c r="A36" s="236" t="s">
        <v>118</v>
      </c>
      <c r="B36" s="237"/>
      <c r="C36" s="238"/>
      <c r="D36" s="238"/>
      <c r="E36" s="238"/>
      <c r="F36" s="238"/>
      <c r="G36" s="238"/>
      <c r="H36" s="238"/>
      <c r="I36" s="238"/>
      <c r="J36" s="238"/>
      <c r="K36" s="238"/>
      <c r="L36" s="238"/>
      <c r="M36" s="238"/>
      <c r="N36" s="238"/>
      <c r="O36" s="238"/>
      <c r="P36" s="350">
        <f>P37*($T$9/SUM($T$9:$T$10))+P38*($T$10/SUM($T$9:$T$10))</f>
        <v>0.7614208350754047</v>
      </c>
      <c r="Q36" s="350">
        <f t="shared" ref="Q36:R36" si="4">Q37*($T$9/SUM($T$9:$T$10))+Q38*($T$10/SUM($T$9:$T$10))</f>
        <v>1.0131212583519753</v>
      </c>
      <c r="R36" s="350">
        <f t="shared" si="4"/>
        <v>0.52775916910055209</v>
      </c>
      <c r="S36" s="352">
        <f>R61</f>
        <v>6.8467417808716166E-2</v>
      </c>
      <c r="T36" s="350">
        <f>P36*(100%+$S36)</f>
        <v>0.813553353518774</v>
      </c>
      <c r="U36" s="350">
        <f t="shared" ref="U36:V36" si="5">Q36*(100%+$S36)</f>
        <v>1.0824870548384522</v>
      </c>
      <c r="V36" s="350">
        <f t="shared" si="5"/>
        <v>0.56389347663374045</v>
      </c>
    </row>
    <row r="37" spans="1:22" hidden="1" outlineLevel="1">
      <c r="A37" s="239" t="s">
        <v>74</v>
      </c>
      <c r="B37" s="240"/>
      <c r="C37" s="240"/>
      <c r="D37" s="240"/>
      <c r="E37" s="240"/>
      <c r="F37" s="240"/>
      <c r="G37" s="240"/>
      <c r="H37" s="240"/>
      <c r="I37" s="240"/>
      <c r="J37" s="240"/>
      <c r="K37" s="240"/>
      <c r="L37" s="240"/>
      <c r="M37" s="240"/>
      <c r="N37" s="240"/>
      <c r="O37" s="240"/>
      <c r="P37" s="358">
        <v>0.43524409976443745</v>
      </c>
      <c r="Q37" s="358">
        <v>0.51477019935298374</v>
      </c>
      <c r="R37" s="358">
        <v>0.32264734419046559</v>
      </c>
      <c r="S37" s="353">
        <f t="shared" ref="S37:S38" si="6">R62</f>
        <v>0.95921725645667899</v>
      </c>
      <c r="T37" s="358">
        <f t="shared" ref="T37:T41" si="7">P37*(100%+$S37)</f>
        <v>0.85273775102943827</v>
      </c>
      <c r="U37" s="358">
        <f t="shared" ref="U37:U41" si="8">Q37*(100%+$S37)</f>
        <v>1.0085466576820106</v>
      </c>
      <c r="V37" s="358">
        <f t="shared" ref="V37:V41" si="9">R37*(100%+$S37)</f>
        <v>0.63213624448787775</v>
      </c>
    </row>
    <row r="38" spans="1:22" hidden="1" outlineLevel="1">
      <c r="A38" s="241" t="s">
        <v>71</v>
      </c>
      <c r="B38" s="242"/>
      <c r="C38" s="242"/>
      <c r="D38" s="242"/>
      <c r="E38" s="242"/>
      <c r="F38" s="242"/>
      <c r="G38" s="242"/>
      <c r="H38" s="242"/>
      <c r="I38" s="242"/>
      <c r="J38" s="242"/>
      <c r="K38" s="242"/>
      <c r="L38" s="242"/>
      <c r="M38" s="242"/>
      <c r="N38" s="242"/>
      <c r="O38" s="242"/>
      <c r="P38" s="359">
        <v>1.4514849246343369</v>
      </c>
      <c r="Q38" s="359">
        <v>2.0674397690851527</v>
      </c>
      <c r="R38" s="359">
        <v>0.96169663119272031</v>
      </c>
      <c r="S38" s="354">
        <f t="shared" si="6"/>
        <v>-0.1808599360528528</v>
      </c>
      <c r="T38" s="359">
        <f t="shared" si="7"/>
        <v>1.1889694539832909</v>
      </c>
      <c r="U38" s="359">
        <f t="shared" si="8"/>
        <v>1.6935227446552872</v>
      </c>
      <c r="V38" s="359">
        <f t="shared" si="9"/>
        <v>0.78776423997296097</v>
      </c>
    </row>
    <row r="39" spans="1:22" hidden="1" outlineLevel="1">
      <c r="A39" s="226" t="s">
        <v>75</v>
      </c>
      <c r="B39" s="227"/>
      <c r="C39" s="227"/>
      <c r="D39" s="227"/>
      <c r="E39" s="227"/>
      <c r="F39" s="227"/>
      <c r="G39" s="227"/>
      <c r="H39" s="227"/>
      <c r="I39" s="227"/>
      <c r="J39" s="227"/>
      <c r="K39" s="227"/>
      <c r="L39" s="227"/>
      <c r="M39" s="227"/>
      <c r="N39" s="227"/>
      <c r="O39" s="227"/>
      <c r="P39" s="360">
        <v>9.9366374909877889E-2</v>
      </c>
      <c r="Q39" s="360">
        <v>7.8629923127591525E-2</v>
      </c>
      <c r="R39" s="360">
        <v>7.120013583451501E-2</v>
      </c>
      <c r="S39" s="355">
        <v>0</v>
      </c>
      <c r="T39" s="360">
        <f t="shared" si="7"/>
        <v>9.9366374909877889E-2</v>
      </c>
      <c r="U39" s="360">
        <f t="shared" si="8"/>
        <v>7.8629923127591525E-2</v>
      </c>
      <c r="V39" s="360">
        <f t="shared" si="9"/>
        <v>7.120013583451501E-2</v>
      </c>
    </row>
    <row r="40" spans="1:22" ht="30" hidden="1" outlineLevel="1">
      <c r="A40" s="318" t="s">
        <v>146</v>
      </c>
      <c r="B40" s="225"/>
      <c r="C40" s="13"/>
      <c r="D40" s="13"/>
      <c r="E40" s="13"/>
      <c r="F40" s="13"/>
      <c r="G40" s="13"/>
      <c r="H40" s="13"/>
      <c r="I40" s="13"/>
      <c r="J40" s="13"/>
      <c r="K40" s="13"/>
      <c r="L40" s="13"/>
      <c r="M40" s="13"/>
      <c r="N40" s="13"/>
      <c r="O40" s="13"/>
      <c r="P40" s="348">
        <v>7.2345883926701893</v>
      </c>
      <c r="Q40" s="348">
        <v>17.755220090995142</v>
      </c>
      <c r="R40" s="348">
        <v>7.03491664945658</v>
      </c>
      <c r="S40" s="349">
        <f>R64</f>
        <v>-0.20300451438497108</v>
      </c>
      <c r="T40" s="348">
        <f t="shared" si="7"/>
        <v>5.765934289241029</v>
      </c>
      <c r="U40" s="348">
        <f t="shared" si="8"/>
        <v>14.150830258624392</v>
      </c>
      <c r="V40" s="348">
        <f t="shared" si="9"/>
        <v>5.6067968112948998</v>
      </c>
    </row>
    <row r="41" spans="1:22" hidden="1" outlineLevel="1">
      <c r="A41" s="236" t="s">
        <v>117</v>
      </c>
      <c r="B41" s="237"/>
      <c r="C41" s="238"/>
      <c r="D41" s="238"/>
      <c r="E41" s="238"/>
      <c r="F41" s="238"/>
      <c r="G41" s="238"/>
      <c r="H41" s="238"/>
      <c r="I41" s="238"/>
      <c r="J41" s="238"/>
      <c r="K41" s="238"/>
      <c r="L41" s="238"/>
      <c r="M41" s="238"/>
      <c r="N41" s="238"/>
      <c r="O41" s="238"/>
      <c r="P41" s="350">
        <v>8.2522034344619701</v>
      </c>
      <c r="Q41" s="350">
        <v>26.741643498891275</v>
      </c>
      <c r="R41" s="350">
        <v>8.6409576433226452</v>
      </c>
      <c r="S41" s="352">
        <f>R65</f>
        <v>-7.2544531021300762E-2</v>
      </c>
      <c r="T41" s="350">
        <f t="shared" si="7"/>
        <v>7.6535512064165587</v>
      </c>
      <c r="U41" s="350">
        <f t="shared" si="8"/>
        <v>24.80168351252539</v>
      </c>
      <c r="V41" s="350">
        <f t="shared" si="9"/>
        <v>8.0141034235128803</v>
      </c>
    </row>
    <row r="42" spans="1:22" hidden="1" outlineLevel="1">
      <c r="A42" s="239" t="s">
        <v>71</v>
      </c>
      <c r="B42" s="240"/>
      <c r="C42" s="240"/>
      <c r="D42" s="240"/>
      <c r="E42" s="240"/>
      <c r="F42" s="240"/>
      <c r="G42" s="240"/>
      <c r="H42" s="240"/>
      <c r="I42" s="240"/>
      <c r="J42" s="240"/>
      <c r="K42" s="240"/>
      <c r="L42" s="240"/>
      <c r="M42" s="240"/>
      <c r="N42" s="240"/>
      <c r="O42" s="240"/>
      <c r="P42" s="358">
        <v>8.286656850730413</v>
      </c>
      <c r="Q42" s="358">
        <v>27.029293621338404</v>
      </c>
      <c r="R42" s="358">
        <v>8.6886450746161739</v>
      </c>
      <c r="S42" s="353" t="s">
        <v>171</v>
      </c>
      <c r="T42" s="358"/>
      <c r="U42" s="358"/>
      <c r="V42" s="358"/>
    </row>
    <row r="43" spans="1:22" hidden="1" outlineLevel="1">
      <c r="A43" s="241" t="s">
        <v>116</v>
      </c>
      <c r="B43" s="242"/>
      <c r="C43" s="242"/>
      <c r="D43" s="242"/>
      <c r="E43" s="242"/>
      <c r="F43" s="242"/>
      <c r="G43" s="242"/>
      <c r="H43" s="242"/>
      <c r="I43" s="242"/>
      <c r="J43" s="242"/>
      <c r="K43" s="242"/>
      <c r="L43" s="242"/>
      <c r="M43" s="242"/>
      <c r="N43" s="242"/>
      <c r="O43" s="242"/>
      <c r="P43" s="359">
        <v>6.7042317082362297</v>
      </c>
      <c r="Q43" s="359">
        <v>13.817692703296029</v>
      </c>
      <c r="R43" s="359">
        <v>6.4983894067345407</v>
      </c>
      <c r="S43" s="354" t="s">
        <v>171</v>
      </c>
      <c r="T43" s="359"/>
      <c r="U43" s="359"/>
      <c r="V43" s="359"/>
    </row>
    <row r="44" spans="1:22" hidden="1" outlineLevel="1">
      <c r="A44" s="226" t="s">
        <v>75</v>
      </c>
      <c r="B44" s="227"/>
      <c r="C44" s="227"/>
      <c r="D44" s="227"/>
      <c r="E44" s="227"/>
      <c r="F44" s="227"/>
      <c r="G44" s="227"/>
      <c r="H44" s="227"/>
      <c r="I44" s="227"/>
      <c r="J44" s="227"/>
      <c r="K44" s="227"/>
      <c r="L44" s="227"/>
      <c r="M44" s="227"/>
      <c r="N44" s="227"/>
      <c r="O44" s="227"/>
      <c r="P44" s="360">
        <v>0.18640304356813431</v>
      </c>
      <c r="Q44" s="360">
        <v>0.62538300037383965</v>
      </c>
      <c r="R44" s="360">
        <v>0.26822627209126854</v>
      </c>
      <c r="S44" s="355">
        <v>0</v>
      </c>
      <c r="T44" s="360">
        <f t="shared" ref="T44:T49" si="10">P44*(100%+$S44)</f>
        <v>0.18640304356813431</v>
      </c>
      <c r="U44" s="360">
        <f t="shared" ref="U44:U49" si="11">Q44*(100%+$S44)</f>
        <v>0.62538300037383965</v>
      </c>
      <c r="V44" s="360">
        <f t="shared" ref="V44:V49" si="12">R44*(100%+$S44)</f>
        <v>0.26822627209126854</v>
      </c>
    </row>
    <row r="45" spans="1:22" s="340" customFormat="1" hidden="1" outlineLevel="1">
      <c r="A45" s="332" t="s">
        <v>166</v>
      </c>
      <c r="B45" s="225"/>
      <c r="C45" s="13"/>
      <c r="D45" s="13"/>
      <c r="E45" s="13"/>
      <c r="F45" s="13"/>
      <c r="G45" s="13"/>
      <c r="H45" s="13"/>
      <c r="I45" s="13"/>
      <c r="J45" s="13"/>
      <c r="K45" s="13"/>
      <c r="L45" s="13"/>
      <c r="M45" s="13"/>
      <c r="N45" s="13"/>
      <c r="O45" s="13"/>
      <c r="P45" s="348">
        <v>7.8132105360006419</v>
      </c>
      <c r="Q45" s="348">
        <v>29.800837221956535</v>
      </c>
      <c r="R45" s="348">
        <v>8.4407791920715596</v>
      </c>
      <c r="S45" s="349">
        <f>R66</f>
        <v>-8.2126034000785095E-2</v>
      </c>
      <c r="T45" s="348">
        <f t="shared" si="10"/>
        <v>7.1715425418657608</v>
      </c>
      <c r="U45" s="348">
        <f t="shared" si="11"/>
        <v>27.353412651014271</v>
      </c>
      <c r="V45" s="348">
        <f t="shared" si="12"/>
        <v>7.7475714731503711</v>
      </c>
    </row>
    <row r="46" spans="1:22" s="340" customFormat="1" hidden="1" outlineLevel="1">
      <c r="A46" s="236" t="s">
        <v>167</v>
      </c>
      <c r="B46" s="237"/>
      <c r="C46" s="238"/>
      <c r="D46" s="238"/>
      <c r="E46" s="238"/>
      <c r="F46" s="238"/>
      <c r="G46" s="238"/>
      <c r="H46" s="238"/>
      <c r="I46" s="238"/>
      <c r="J46" s="238"/>
      <c r="K46" s="238"/>
      <c r="L46" s="238"/>
      <c r="M46" s="238"/>
      <c r="N46" s="238"/>
      <c r="O46" s="238"/>
      <c r="P46" s="350">
        <v>2.0223380126054575</v>
      </c>
      <c r="Q46" s="350">
        <v>2.4959643791889463</v>
      </c>
      <c r="R46" s="350">
        <v>1.2299430109182614</v>
      </c>
      <c r="S46" s="356">
        <f t="shared" ref="S46:S48" si="13">R67</f>
        <v>-0.18763782220990777</v>
      </c>
      <c r="T46" s="350">
        <f t="shared" si="10"/>
        <v>1.6428709121478564</v>
      </c>
      <c r="U46" s="350">
        <f t="shared" si="11"/>
        <v>2.0276270587644278</v>
      </c>
      <c r="V46" s="350">
        <f t="shared" si="12"/>
        <v>0.99915918290726202</v>
      </c>
    </row>
    <row r="47" spans="1:22" s="340" customFormat="1" hidden="1" outlineLevel="1">
      <c r="A47" s="239" t="s">
        <v>74</v>
      </c>
      <c r="B47" s="240"/>
      <c r="C47" s="240"/>
      <c r="D47" s="240"/>
      <c r="E47" s="240"/>
      <c r="F47" s="240"/>
      <c r="G47" s="240"/>
      <c r="H47" s="240"/>
      <c r="I47" s="240"/>
      <c r="J47" s="240"/>
      <c r="K47" s="240"/>
      <c r="L47" s="240"/>
      <c r="M47" s="240"/>
      <c r="N47" s="240"/>
      <c r="O47" s="240"/>
      <c r="P47" s="358">
        <v>0.52270242631969277</v>
      </c>
      <c r="Q47" s="358">
        <v>0.59269424443816709</v>
      </c>
      <c r="R47" s="358">
        <v>0.39104942125749104</v>
      </c>
      <c r="S47" s="353">
        <f t="shared" si="13"/>
        <v>-6.3258357395432771E-2</v>
      </c>
      <c r="T47" s="358">
        <f t="shared" si="10"/>
        <v>0.48963712942410181</v>
      </c>
      <c r="U47" s="358">
        <f t="shared" si="11"/>
        <v>0.55520138009728159</v>
      </c>
      <c r="V47" s="358">
        <f t="shared" si="12"/>
        <v>0.36631227720830756</v>
      </c>
    </row>
    <row r="48" spans="1:22" s="340" customFormat="1" hidden="1" outlineLevel="1">
      <c r="A48" s="241" t="s">
        <v>71</v>
      </c>
      <c r="B48" s="242"/>
      <c r="C48" s="242"/>
      <c r="D48" s="242"/>
      <c r="E48" s="242"/>
      <c r="F48" s="242"/>
      <c r="G48" s="242"/>
      <c r="H48" s="242"/>
      <c r="I48" s="242"/>
      <c r="J48" s="242"/>
      <c r="K48" s="242"/>
      <c r="L48" s="242"/>
      <c r="M48" s="242"/>
      <c r="N48" s="242"/>
      <c r="O48" s="242"/>
      <c r="P48" s="359">
        <v>2.4665496889788314</v>
      </c>
      <c r="Q48" s="359">
        <v>3.0597378884873012</v>
      </c>
      <c r="R48" s="359">
        <v>1.4784342651735989</v>
      </c>
      <c r="S48" s="354">
        <f t="shared" si="13"/>
        <v>-0.11647714294396548</v>
      </c>
      <c r="T48" s="359">
        <f t="shared" si="10"/>
        <v>2.1792530282772504</v>
      </c>
      <c r="U48" s="359">
        <f t="shared" si="11"/>
        <v>2.7033483610788989</v>
      </c>
      <c r="V48" s="359">
        <f t="shared" si="12"/>
        <v>1.3062304659357171</v>
      </c>
    </row>
    <row r="49" spans="1:22" s="340" customFormat="1" hidden="1" outlineLevel="1">
      <c r="A49" s="226" t="s">
        <v>75</v>
      </c>
      <c r="B49" s="227"/>
      <c r="C49" s="227"/>
      <c r="D49" s="227"/>
      <c r="E49" s="227"/>
      <c r="F49" s="227"/>
      <c r="G49" s="227"/>
      <c r="H49" s="227"/>
      <c r="I49" s="227"/>
      <c r="J49" s="227"/>
      <c r="K49" s="227"/>
      <c r="L49" s="227"/>
      <c r="M49" s="227"/>
      <c r="N49" s="227"/>
      <c r="O49" s="227"/>
      <c r="P49" s="360">
        <v>9.9337456859648204E-2</v>
      </c>
      <c r="Q49" s="360">
        <v>7.5863526575267265E-2</v>
      </c>
      <c r="R49" s="360">
        <v>7.0429749339819006E-2</v>
      </c>
      <c r="S49" s="355">
        <v>0</v>
      </c>
      <c r="T49" s="360">
        <f t="shared" si="10"/>
        <v>9.9337456859648204E-2</v>
      </c>
      <c r="U49" s="360">
        <f t="shared" si="11"/>
        <v>7.5863526575267265E-2</v>
      </c>
      <c r="V49" s="360">
        <f t="shared" si="12"/>
        <v>7.0429749339819006E-2</v>
      </c>
    </row>
    <row r="50" spans="1:22" s="340" customFormat="1" hidden="1" outlineLevel="1">
      <c r="A50" s="236" t="s">
        <v>458</v>
      </c>
      <c r="B50" s="237"/>
      <c r="C50" s="238"/>
      <c r="D50" s="238"/>
      <c r="E50" s="238"/>
      <c r="F50" s="238"/>
      <c r="G50" s="238"/>
      <c r="H50" s="238"/>
      <c r="I50" s="238"/>
      <c r="J50" s="238"/>
      <c r="K50" s="238"/>
      <c r="L50" s="238"/>
      <c r="M50" s="238"/>
      <c r="N50" s="238"/>
      <c r="O50" s="238"/>
      <c r="P50" s="350"/>
      <c r="Q50" s="350"/>
      <c r="R50" s="350"/>
      <c r="S50" s="356"/>
      <c r="T50" s="350"/>
      <c r="U50" s="350"/>
      <c r="V50" s="350"/>
    </row>
    <row r="51" spans="1:22" s="340" customFormat="1" hidden="1" outlineLevel="1">
      <c r="A51" s="241" t="s">
        <v>74</v>
      </c>
      <c r="B51" s="242"/>
      <c r="C51" s="242"/>
      <c r="D51" s="242"/>
      <c r="E51" s="242"/>
      <c r="F51" s="242"/>
      <c r="G51" s="242"/>
      <c r="H51" s="242"/>
      <c r="I51" s="242"/>
      <c r="J51" s="242"/>
      <c r="K51" s="242"/>
      <c r="L51" s="242"/>
      <c r="M51" s="242"/>
      <c r="N51" s="242"/>
      <c r="O51" s="242"/>
      <c r="P51" s="359">
        <v>0.74866602397521786</v>
      </c>
      <c r="Q51" s="359">
        <v>0.72895368650847359</v>
      </c>
      <c r="R51" s="359">
        <v>65.82563226904746</v>
      </c>
      <c r="S51" s="354">
        <f>R70</f>
        <v>-0.47713359886470835</v>
      </c>
      <c r="T51" s="359">
        <f t="shared" ref="T51:T52" si="14">P51*(100%+$S51)</f>
        <v>0.39145230960819016</v>
      </c>
      <c r="U51" s="359">
        <f t="shared" ref="U51:U52" si="15">Q51*(100%+$S51)</f>
        <v>0.38114539065898922</v>
      </c>
      <c r="V51" s="359">
        <f t="shared" ref="V51:V52" si="16">R51*(100%+$S51)</f>
        <v>34.418011446971974</v>
      </c>
    </row>
    <row r="52" spans="1:22" s="340" customFormat="1" hidden="1" outlineLevel="1">
      <c r="A52" s="226" t="s">
        <v>75</v>
      </c>
      <c r="B52" s="227"/>
      <c r="C52" s="227"/>
      <c r="D52" s="227"/>
      <c r="E52" s="227"/>
      <c r="F52" s="227"/>
      <c r="G52" s="227"/>
      <c r="H52" s="227"/>
      <c r="I52" s="227"/>
      <c r="J52" s="227"/>
      <c r="K52" s="227"/>
      <c r="L52" s="227"/>
      <c r="M52" s="227"/>
      <c r="N52" s="227"/>
      <c r="O52" s="227"/>
      <c r="P52" s="360">
        <v>2.4850667482242079E-2</v>
      </c>
      <c r="Q52" s="360">
        <v>1.9713800782337778E-2</v>
      </c>
      <c r="R52" s="360">
        <v>1.6381325712427501E-2</v>
      </c>
      <c r="S52" s="355">
        <v>0</v>
      </c>
      <c r="T52" s="360">
        <f t="shared" si="14"/>
        <v>2.4850667482242079E-2</v>
      </c>
      <c r="U52" s="360">
        <f t="shared" si="15"/>
        <v>1.9713800782337778E-2</v>
      </c>
      <c r="V52" s="360">
        <f t="shared" si="16"/>
        <v>1.6381325712427501E-2</v>
      </c>
    </row>
    <row r="53" spans="1:22" hidden="1" outlineLevel="1">
      <c r="A53" s="35" t="s">
        <v>409</v>
      </c>
    </row>
    <row r="54" spans="1:22" hidden="1" outlineLevel="1">
      <c r="A54" s="228" t="s">
        <v>459</v>
      </c>
    </row>
    <row r="55" spans="1:22" hidden="1" outlineLevel="1">
      <c r="A55" s="228" t="s">
        <v>460</v>
      </c>
    </row>
    <row r="56" spans="1:22" hidden="1" outlineLevel="1">
      <c r="A56" s="228" t="s">
        <v>461</v>
      </c>
    </row>
    <row r="57" spans="1:22" hidden="1" outlineLevel="1"/>
    <row r="58" spans="1:22" s="346" customFormat="1" hidden="1" outlineLevel="1">
      <c r="A58" s="1" t="s">
        <v>177</v>
      </c>
    </row>
    <row r="59" spans="1:22" s="346" customFormat="1" hidden="1" outlineLevel="1">
      <c r="A59" s="695"/>
      <c r="B59" s="697" t="s">
        <v>161</v>
      </c>
      <c r="C59" s="223"/>
      <c r="D59" s="223"/>
      <c r="E59" s="223"/>
      <c r="F59" s="223"/>
      <c r="G59" s="223"/>
      <c r="H59" s="223"/>
      <c r="I59" s="223"/>
      <c r="J59" s="223"/>
      <c r="K59" s="223"/>
      <c r="L59" s="223"/>
      <c r="M59" s="223"/>
      <c r="N59" s="223"/>
      <c r="O59" s="223"/>
      <c r="P59" s="223">
        <v>2016</v>
      </c>
      <c r="Q59" s="223">
        <v>2016</v>
      </c>
    </row>
    <row r="60" spans="1:22" s="346" customFormat="1" hidden="1" outlineLevel="1">
      <c r="A60" s="696"/>
      <c r="B60" s="698"/>
      <c r="C60" s="223"/>
      <c r="D60" s="223"/>
      <c r="E60" s="223"/>
      <c r="F60" s="223"/>
      <c r="G60" s="223"/>
      <c r="H60" s="223"/>
      <c r="I60" s="223"/>
      <c r="J60" s="223"/>
      <c r="K60" s="223"/>
      <c r="L60" s="223"/>
      <c r="M60" s="223"/>
      <c r="N60" s="223"/>
      <c r="O60" s="223"/>
      <c r="P60" s="223" t="s">
        <v>169</v>
      </c>
      <c r="Q60" s="223" t="s">
        <v>64</v>
      </c>
      <c r="R60" s="223" t="s">
        <v>170</v>
      </c>
    </row>
    <row r="61" spans="1:22" s="346" customFormat="1" hidden="1" outlineLevel="1">
      <c r="A61" s="361" t="s">
        <v>69</v>
      </c>
      <c r="B61" s="362"/>
      <c r="C61" s="238"/>
      <c r="D61" s="238"/>
      <c r="E61" s="238"/>
      <c r="F61" s="238"/>
      <c r="G61" s="238"/>
      <c r="H61" s="238"/>
      <c r="I61" s="238"/>
      <c r="J61" s="238"/>
      <c r="K61" s="238"/>
      <c r="L61" s="238"/>
      <c r="M61" s="238"/>
      <c r="N61" s="238"/>
      <c r="O61" s="238"/>
      <c r="P61" s="350">
        <v>1.1380336080369999</v>
      </c>
      <c r="Q61" s="350">
        <v>1.2159518305588299</v>
      </c>
      <c r="R61" s="352">
        <f t="shared" ref="R61:R66" si="17">IFERROR((Q61-P61)/P61,"brak")</f>
        <v>6.8467417808716166E-2</v>
      </c>
    </row>
    <row r="62" spans="1:22" s="346" customFormat="1" hidden="1" outlineLevel="1">
      <c r="A62" s="363" t="s">
        <v>74</v>
      </c>
      <c r="B62" s="364"/>
      <c r="C62" s="240"/>
      <c r="D62" s="240"/>
      <c r="E62" s="240"/>
      <c r="F62" s="240"/>
      <c r="G62" s="240"/>
      <c r="H62" s="240"/>
      <c r="I62" s="240"/>
      <c r="J62" s="240"/>
      <c r="K62" s="240"/>
      <c r="L62" s="240"/>
      <c r="M62" s="240"/>
      <c r="N62" s="240"/>
      <c r="O62" s="240"/>
      <c r="P62" s="358">
        <v>0.52695410836604595</v>
      </c>
      <c r="Q62" s="358">
        <v>1.0324175824715001</v>
      </c>
      <c r="R62" s="365">
        <f t="shared" si="17"/>
        <v>0.95921725645667899</v>
      </c>
    </row>
    <row r="63" spans="1:22" s="346" customFormat="1" hidden="1" outlineLevel="1">
      <c r="A63" s="366" t="s">
        <v>71</v>
      </c>
      <c r="B63" s="367"/>
      <c r="C63" s="368"/>
      <c r="D63" s="368"/>
      <c r="E63" s="368"/>
      <c r="F63" s="368"/>
      <c r="G63" s="368"/>
      <c r="H63" s="368"/>
      <c r="I63" s="368"/>
      <c r="J63" s="368"/>
      <c r="K63" s="368"/>
      <c r="L63" s="368"/>
      <c r="M63" s="368"/>
      <c r="N63" s="368"/>
      <c r="O63" s="368"/>
      <c r="P63" s="369">
        <v>1.9006851722579601</v>
      </c>
      <c r="Q63" s="369">
        <v>1.5569273735467799</v>
      </c>
      <c r="R63" s="370">
        <f t="shared" si="17"/>
        <v>-0.1808599360528528</v>
      </c>
    </row>
    <row r="64" spans="1:22" s="346" customFormat="1" hidden="1" outlineLevel="1">
      <c r="A64" s="318" t="s">
        <v>153</v>
      </c>
      <c r="B64" s="10"/>
      <c r="C64" s="13"/>
      <c r="D64" s="13"/>
      <c r="E64" s="13"/>
      <c r="F64" s="13"/>
      <c r="G64" s="13"/>
      <c r="H64" s="13"/>
      <c r="I64" s="13"/>
      <c r="J64" s="13"/>
      <c r="K64" s="13"/>
      <c r="L64" s="13"/>
      <c r="M64" s="13"/>
      <c r="N64" s="13"/>
      <c r="O64" s="13"/>
      <c r="P64" s="348">
        <v>9.3781880607559192</v>
      </c>
      <c r="Q64" s="348">
        <v>7.4743735476712301</v>
      </c>
      <c r="R64" s="349">
        <f t="shared" si="17"/>
        <v>-0.20300451438497108</v>
      </c>
    </row>
    <row r="65" spans="1:19" s="346" customFormat="1" hidden="1" outlineLevel="1">
      <c r="A65" s="318" t="s">
        <v>163</v>
      </c>
      <c r="B65" s="10"/>
      <c r="C65" s="13"/>
      <c r="D65" s="13"/>
      <c r="E65" s="13"/>
      <c r="F65" s="13"/>
      <c r="G65" s="13"/>
      <c r="H65" s="13"/>
      <c r="I65" s="13"/>
      <c r="J65" s="13"/>
      <c r="K65" s="13"/>
      <c r="L65" s="13"/>
      <c r="M65" s="13"/>
      <c r="N65" s="13"/>
      <c r="O65" s="13"/>
      <c r="P65" s="348">
        <v>14.193240289626701</v>
      </c>
      <c r="Q65" s="348">
        <v>13.163598329143101</v>
      </c>
      <c r="R65" s="349">
        <f t="shared" si="17"/>
        <v>-7.2544531021300762E-2</v>
      </c>
    </row>
    <row r="66" spans="1:19" s="346" customFormat="1" hidden="1" outlineLevel="1">
      <c r="A66" s="318" t="s">
        <v>164</v>
      </c>
      <c r="B66" s="10"/>
      <c r="C66" s="13"/>
      <c r="D66" s="13"/>
      <c r="E66" s="13"/>
      <c r="F66" s="13"/>
      <c r="G66" s="13"/>
      <c r="H66" s="13"/>
      <c r="I66" s="13"/>
      <c r="J66" s="13"/>
      <c r="K66" s="13"/>
      <c r="L66" s="13"/>
      <c r="M66" s="13"/>
      <c r="N66" s="13"/>
      <c r="O66" s="13"/>
      <c r="P66" s="348">
        <v>14.3396034451614</v>
      </c>
      <c r="Q66" s="348">
        <v>13.161948685066299</v>
      </c>
      <c r="R66" s="349">
        <f t="shared" si="17"/>
        <v>-8.2126034000785095E-2</v>
      </c>
    </row>
    <row r="67" spans="1:19" s="346" customFormat="1" hidden="1" outlineLevel="1">
      <c r="A67" s="361" t="s">
        <v>162</v>
      </c>
      <c r="B67" s="362"/>
      <c r="C67" s="238"/>
      <c r="D67" s="238"/>
      <c r="E67" s="238"/>
      <c r="F67" s="238"/>
      <c r="G67" s="238"/>
      <c r="H67" s="238"/>
      <c r="I67" s="238"/>
      <c r="J67" s="238"/>
      <c r="K67" s="238"/>
      <c r="L67" s="238"/>
      <c r="M67" s="238"/>
      <c r="N67" s="238"/>
      <c r="O67" s="238"/>
      <c r="P67" s="350">
        <v>3.2395928719261802</v>
      </c>
      <c r="Q67" s="371">
        <f>Q68*(S76/SUM(S76:S77))+Q69*(S77/SUM(S76:S77))</f>
        <v>2.631722720591211</v>
      </c>
      <c r="R67" s="352">
        <f t="shared" ref="R67:R70" si="18">IFERROR((Q67-P67)/P67,"brak")</f>
        <v>-0.18763782220990777</v>
      </c>
    </row>
    <row r="68" spans="1:19" s="346" customFormat="1" hidden="1" outlineLevel="1">
      <c r="A68" s="363" t="s">
        <v>74</v>
      </c>
      <c r="B68" s="364"/>
      <c r="C68" s="240"/>
      <c r="D68" s="240"/>
      <c r="E68" s="240"/>
      <c r="F68" s="240"/>
      <c r="G68" s="240"/>
      <c r="H68" s="240"/>
      <c r="I68" s="240"/>
      <c r="J68" s="240"/>
      <c r="K68" s="240"/>
      <c r="L68" s="240"/>
      <c r="M68" s="240"/>
      <c r="N68" s="240"/>
      <c r="O68" s="240"/>
      <c r="P68" s="358">
        <v>1.1699645996707999</v>
      </c>
      <c r="Q68" s="358">
        <v>1.09595456088482</v>
      </c>
      <c r="R68" s="365">
        <f t="shared" si="18"/>
        <v>-6.3258357395432771E-2</v>
      </c>
    </row>
    <row r="69" spans="1:19" s="346" customFormat="1" hidden="1" outlineLevel="1">
      <c r="A69" s="366" t="s">
        <v>71</v>
      </c>
      <c r="B69" s="367"/>
      <c r="C69" s="368"/>
      <c r="D69" s="368"/>
      <c r="E69" s="368"/>
      <c r="F69" s="368"/>
      <c r="G69" s="368"/>
      <c r="H69" s="368"/>
      <c r="I69" s="368"/>
      <c r="J69" s="368"/>
      <c r="K69" s="368"/>
      <c r="L69" s="368"/>
      <c r="M69" s="368"/>
      <c r="N69" s="368"/>
      <c r="O69" s="368"/>
      <c r="P69" s="369">
        <v>3.36749861662177</v>
      </c>
      <c r="Q69" s="369">
        <v>2.9752619988899101</v>
      </c>
      <c r="R69" s="370">
        <f t="shared" si="18"/>
        <v>-0.11647714294396548</v>
      </c>
    </row>
    <row r="70" spans="1:19" s="346" customFormat="1" hidden="1" outlineLevel="1">
      <c r="A70" s="318" t="s">
        <v>458</v>
      </c>
      <c r="B70" s="10"/>
      <c r="C70" s="13"/>
      <c r="D70" s="13"/>
      <c r="E70" s="13"/>
      <c r="F70" s="13"/>
      <c r="G70" s="13"/>
      <c r="H70" s="13"/>
      <c r="I70" s="13"/>
      <c r="J70" s="13"/>
      <c r="K70" s="13"/>
      <c r="L70" s="13"/>
      <c r="M70" s="13"/>
      <c r="N70" s="13"/>
      <c r="O70" s="13"/>
      <c r="P70" s="348">
        <v>1.17243087901834</v>
      </c>
      <c r="Q70" s="348">
        <v>0.61302471429220595</v>
      </c>
      <c r="R70" s="349">
        <f t="shared" si="18"/>
        <v>-0.47713359886470835</v>
      </c>
    </row>
    <row r="71" spans="1:19" s="346" customFormat="1" hidden="1" outlineLevel="1">
      <c r="A71" s="35" t="s">
        <v>462</v>
      </c>
    </row>
    <row r="72" spans="1:19" s="346" customFormat="1" hidden="1" outlineLevel="1"/>
    <row r="73" spans="1:19" s="340" customFormat="1" hidden="1" outlineLevel="1">
      <c r="A73" s="333" t="s">
        <v>463</v>
      </c>
    </row>
    <row r="74" spans="1:19" s="340" customFormat="1" ht="45" hidden="1" outlineLevel="1">
      <c r="A74" s="693" t="s">
        <v>154</v>
      </c>
      <c r="B74" s="693" t="s">
        <v>155</v>
      </c>
      <c r="C74" s="342"/>
      <c r="D74" s="342"/>
      <c r="E74" s="342"/>
      <c r="F74" s="342"/>
      <c r="G74" s="342"/>
      <c r="H74" s="342"/>
      <c r="I74" s="342"/>
      <c r="J74" s="342"/>
      <c r="K74" s="342"/>
      <c r="L74" s="342"/>
      <c r="M74" s="342"/>
      <c r="N74" s="342"/>
      <c r="O74" s="342"/>
      <c r="P74" s="693"/>
      <c r="Q74" s="343" t="s">
        <v>156</v>
      </c>
      <c r="R74" s="343" t="s">
        <v>157</v>
      </c>
      <c r="S74" s="343" t="s">
        <v>165</v>
      </c>
    </row>
    <row r="75" spans="1:19" s="340" customFormat="1" ht="15.75" hidden="1" outlineLevel="1" thickBot="1">
      <c r="A75" s="694"/>
      <c r="B75" s="694"/>
      <c r="C75" s="344"/>
      <c r="D75" s="344"/>
      <c r="E75" s="344"/>
      <c r="F75" s="344"/>
      <c r="G75" s="344"/>
      <c r="H75" s="344"/>
      <c r="I75" s="344"/>
      <c r="J75" s="344"/>
      <c r="K75" s="344"/>
      <c r="L75" s="344"/>
      <c r="M75" s="344"/>
      <c r="N75" s="344"/>
      <c r="O75" s="344"/>
      <c r="P75" s="694"/>
      <c r="Q75" s="345" t="s">
        <v>158</v>
      </c>
      <c r="R75" s="345" t="s">
        <v>159</v>
      </c>
      <c r="S75" s="345" t="s">
        <v>160</v>
      </c>
    </row>
    <row r="76" spans="1:19" s="340" customFormat="1" hidden="1" outlineLevel="1">
      <c r="A76" s="334" t="s">
        <v>175</v>
      </c>
      <c r="B76" s="341" t="s">
        <v>74</v>
      </c>
      <c r="C76" s="357"/>
      <c r="D76" s="357"/>
      <c r="E76" s="357"/>
      <c r="F76" s="357"/>
      <c r="G76" s="357"/>
      <c r="H76" s="357"/>
      <c r="I76" s="357"/>
      <c r="J76" s="357"/>
      <c r="K76" s="357"/>
      <c r="L76" s="357"/>
      <c r="M76" s="357"/>
      <c r="N76" s="357"/>
      <c r="O76" s="357"/>
      <c r="P76" s="341"/>
      <c r="Q76" s="335">
        <v>347915</v>
      </c>
      <c r="R76" s="336">
        <v>15289.779943376976</v>
      </c>
      <c r="S76" s="335">
        <f>Q76*R76</f>
        <v>5319543789.000001</v>
      </c>
    </row>
    <row r="77" spans="1:19" s="340" customFormat="1" hidden="1" outlineLevel="1">
      <c r="A77" s="334" t="s">
        <v>175</v>
      </c>
      <c r="B77" s="341" t="s">
        <v>176</v>
      </c>
      <c r="C77" s="357"/>
      <c r="D77" s="357"/>
      <c r="E77" s="357"/>
      <c r="F77" s="357"/>
      <c r="G77" s="357"/>
      <c r="H77" s="357"/>
      <c r="I77" s="357"/>
      <c r="J77" s="357"/>
      <c r="K77" s="357"/>
      <c r="L77" s="357"/>
      <c r="M77" s="357"/>
      <c r="N77" s="357"/>
      <c r="O77" s="357"/>
      <c r="P77" s="341"/>
      <c r="Q77" s="335">
        <v>1174543</v>
      </c>
      <c r="R77" s="336">
        <v>20246.72236946625</v>
      </c>
      <c r="S77" s="335">
        <f>Q77*R77</f>
        <v>23780646031.999996</v>
      </c>
    </row>
    <row r="78" spans="1:19" s="340" customFormat="1" hidden="1" outlineLevel="1">
      <c r="A78" s="337" t="s">
        <v>464</v>
      </c>
    </row>
    <row r="79" spans="1:19" s="340" customFormat="1" hidden="1" outlineLevel="1">
      <c r="A79" s="333" t="s">
        <v>465</v>
      </c>
    </row>
    <row r="80" spans="1:19" s="340" customFormat="1" hidden="1" outlineLevel="1"/>
    <row r="81" spans="1:61" hidden="1" outlineLevel="1">
      <c r="A81" s="315" t="s">
        <v>120</v>
      </c>
      <c r="B81" s="150">
        <f>1/100</f>
        <v>0.01</v>
      </c>
      <c r="C81" s="315"/>
      <c r="D81" s="315"/>
      <c r="E81" s="315"/>
      <c r="F81" s="315"/>
      <c r="G81" s="315"/>
      <c r="H81" s="315"/>
      <c r="I81" s="315"/>
      <c r="J81" s="315"/>
      <c r="K81" s="315"/>
      <c r="L81" s="315"/>
      <c r="M81" s="315"/>
      <c r="N81" s="315"/>
      <c r="O81" s="315"/>
      <c r="P81" s="315"/>
      <c r="Q81" s="315"/>
    </row>
    <row r="82" spans="1:61" hidden="1" outlineLevel="1">
      <c r="A82" s="315"/>
      <c r="B82" s="315"/>
      <c r="C82" s="315"/>
      <c r="D82" s="315"/>
      <c r="E82" s="315"/>
      <c r="F82" s="315"/>
      <c r="G82" s="315"/>
      <c r="H82" s="315"/>
      <c r="I82" s="315"/>
      <c r="J82" s="315"/>
      <c r="K82" s="315"/>
      <c r="L82" s="315"/>
      <c r="M82" s="315"/>
      <c r="N82" s="315"/>
      <c r="O82" s="315"/>
      <c r="P82" s="315"/>
      <c r="Q82" s="315"/>
    </row>
    <row r="83" spans="1:61" hidden="1" outlineLevel="1">
      <c r="A83" s="9" t="s">
        <v>2</v>
      </c>
      <c r="B83" s="6"/>
      <c r="C83" s="6"/>
      <c r="D83" s="6"/>
      <c r="E83" s="6"/>
      <c r="F83" s="6"/>
      <c r="G83" s="6"/>
      <c r="H83" s="6"/>
      <c r="I83" s="6"/>
      <c r="J83" s="6"/>
      <c r="K83" s="6"/>
      <c r="L83" s="6"/>
      <c r="M83" s="6"/>
      <c r="N83" s="6"/>
      <c r="O83" s="6"/>
      <c r="P83" s="6"/>
      <c r="Q83" s="6">
        <v>2016</v>
      </c>
    </row>
    <row r="84" spans="1:61" hidden="1" outlineLevel="1">
      <c r="A84" s="8" t="s">
        <v>3</v>
      </c>
      <c r="B84" s="12"/>
      <c r="C84" s="12"/>
      <c r="D84" s="12"/>
      <c r="E84" s="12"/>
      <c r="F84" s="12"/>
      <c r="G84" s="12"/>
      <c r="H84" s="12"/>
      <c r="I84" s="12"/>
      <c r="J84" s="12"/>
      <c r="K84" s="12"/>
      <c r="L84" s="12"/>
      <c r="M84" s="12"/>
      <c r="N84" s="12"/>
      <c r="O84" s="12"/>
      <c r="P84" s="12"/>
      <c r="Q84" s="11">
        <f>Indeksacja!$Q$41</f>
        <v>4.3632</v>
      </c>
    </row>
    <row r="85" spans="1:61" hidden="1" outlineLevel="1">
      <c r="A85" s="35" t="str">
        <f>Indeksacja!$A$42</f>
        <v>Źródło: ECB, http://sdw.ecb.europa.eu/quickview.do?SERIES_KEY=120.EXR.A.PLN.EUR.SP00.A</v>
      </c>
      <c r="B85" s="315"/>
      <c r="C85" s="315"/>
      <c r="D85" s="315"/>
      <c r="E85" s="315"/>
      <c r="F85" s="315"/>
      <c r="G85" s="315"/>
      <c r="H85" s="315"/>
      <c r="I85" s="315"/>
      <c r="J85" s="315"/>
      <c r="K85" s="315"/>
      <c r="L85" s="315"/>
      <c r="M85" s="315"/>
      <c r="N85" s="315"/>
      <c r="O85" s="315"/>
      <c r="P85" s="315"/>
      <c r="Q85" s="315"/>
    </row>
    <row r="86" spans="1:61" hidden="1" outlineLevel="1"/>
    <row r="87" spans="1:61" s="375" customFormat="1" ht="30" hidden="1" outlineLevel="1">
      <c r="A87" s="146" t="s">
        <v>349</v>
      </c>
      <c r="B87" s="6"/>
      <c r="C87" s="6"/>
      <c r="D87" s="6"/>
      <c r="E87" s="6"/>
      <c r="F87" s="6"/>
      <c r="G87" s="6"/>
      <c r="H87" s="6"/>
      <c r="I87" s="6"/>
      <c r="J87" s="6"/>
      <c r="K87" s="6"/>
      <c r="L87" s="6"/>
      <c r="M87" s="6"/>
      <c r="N87" s="6"/>
      <c r="O87" s="6"/>
      <c r="P87" s="6"/>
      <c r="Q87" s="6">
        <v>2016</v>
      </c>
    </row>
    <row r="88" spans="1:61" s="375" customFormat="1" hidden="1" outlineLevel="1">
      <c r="A88" s="8" t="s">
        <v>64</v>
      </c>
      <c r="B88" s="377"/>
      <c r="C88" s="377"/>
      <c r="D88" s="377"/>
      <c r="E88" s="377"/>
      <c r="F88" s="377"/>
      <c r="G88" s="377"/>
      <c r="H88" s="377"/>
      <c r="I88" s="377"/>
      <c r="J88" s="377"/>
      <c r="K88" s="377"/>
      <c r="L88" s="377"/>
      <c r="M88" s="377"/>
      <c r="N88" s="377"/>
      <c r="O88" s="377"/>
      <c r="P88" s="377"/>
      <c r="Q88" s="374">
        <f>Indeksacja!$Q$44</f>
        <v>68.2</v>
      </c>
    </row>
    <row r="89" spans="1:61" s="375" customFormat="1" hidden="1" outlineLevel="1">
      <c r="A89" s="35" t="str">
        <f>Indeksacja!$A$45</f>
        <v>Źródło: Eurostat, https://ec.europa.eu/eurostat/data/database Main GDP aggregates per capita [nama_10_pc] (aktualizacja 28.01.2022)</v>
      </c>
    </row>
    <row r="90" spans="1:61" s="375" customFormat="1" hidden="1" outlineLevel="1"/>
    <row r="91" spans="1:61" s="454" customFormat="1" hidden="1" outlineLevel="1">
      <c r="A91" s="649" t="s">
        <v>680</v>
      </c>
      <c r="B91" s="649"/>
      <c r="C91" s="649"/>
      <c r="D91" s="649"/>
      <c r="E91" s="649"/>
      <c r="F91" s="649"/>
      <c r="G91" s="649"/>
      <c r="H91" s="649"/>
      <c r="I91" s="649"/>
      <c r="J91" s="649"/>
      <c r="K91" s="649"/>
      <c r="L91" s="649"/>
      <c r="M91" s="649"/>
      <c r="N91" s="649"/>
      <c r="O91" s="649"/>
      <c r="P91" s="649"/>
      <c r="Q91" s="649"/>
      <c r="R91" s="649"/>
      <c r="S91" s="649"/>
      <c r="T91" s="649"/>
      <c r="U91" s="649"/>
      <c r="V91" s="649"/>
    </row>
    <row r="92" spans="1:61" s="516" customFormat="1" hidden="1" outlineLevel="1">
      <c r="A92" s="649"/>
      <c r="B92" s="649"/>
      <c r="C92" s="649"/>
      <c r="D92" s="649"/>
      <c r="E92" s="649"/>
      <c r="F92" s="649"/>
      <c r="G92" s="649"/>
      <c r="H92" s="649"/>
      <c r="I92" s="649"/>
      <c r="J92" s="649"/>
      <c r="K92" s="649"/>
      <c r="L92" s="649"/>
      <c r="M92" s="649"/>
      <c r="N92" s="649"/>
      <c r="O92" s="649"/>
      <c r="P92" s="649"/>
      <c r="Q92" s="649"/>
      <c r="R92" s="649"/>
      <c r="S92" s="649"/>
      <c r="T92" s="649"/>
      <c r="U92" s="649"/>
      <c r="V92" s="649"/>
    </row>
    <row r="93" spans="1:61" s="454" customFormat="1" hidden="1" outlineLevel="1">
      <c r="A93" s="408" t="s">
        <v>316</v>
      </c>
    </row>
    <row r="94" spans="1:61" s="454" customFormat="1" hidden="1" outlineLevel="1"/>
    <row r="95" spans="1:61" hidden="1" outlineLevel="1">
      <c r="A95" s="9" t="s">
        <v>205</v>
      </c>
      <c r="B95" s="41"/>
      <c r="C95" s="41"/>
      <c r="D95" s="41"/>
      <c r="E95" s="41"/>
      <c r="F95" s="41"/>
      <c r="G95" s="41"/>
      <c r="H95" s="41"/>
      <c r="I95" s="41"/>
      <c r="J95" s="41"/>
      <c r="K95" s="41"/>
      <c r="L95" s="41"/>
      <c r="M95" s="41"/>
      <c r="N95" s="41"/>
      <c r="O95" s="41"/>
      <c r="P95" s="41"/>
      <c r="Q95" s="41">
        <v>2016</v>
      </c>
      <c r="R95" s="41">
        <f>Q95+1</f>
        <v>2017</v>
      </c>
      <c r="S95" s="41">
        <f t="shared" ref="S95:V95" si="19">R95+1</f>
        <v>2018</v>
      </c>
      <c r="T95" s="41">
        <f t="shared" si="19"/>
        <v>2019</v>
      </c>
      <c r="U95" s="41">
        <f t="shared" si="19"/>
        <v>2020</v>
      </c>
      <c r="V95" s="41">
        <f t="shared" si="19"/>
        <v>2021</v>
      </c>
      <c r="W95" s="41">
        <f t="shared" ref="W95" si="20">V95+1</f>
        <v>2022</v>
      </c>
      <c r="X95" s="41">
        <f t="shared" ref="X95" si="21">W95+1</f>
        <v>2023</v>
      </c>
      <c r="Y95" s="41">
        <f t="shared" ref="Y95" si="22">X95+1</f>
        <v>2024</v>
      </c>
      <c r="Z95" s="41">
        <f t="shared" ref="Z95" si="23">Y95+1</f>
        <v>2025</v>
      </c>
      <c r="AA95" s="41">
        <f t="shared" ref="AA95" si="24">Z95+1</f>
        <v>2026</v>
      </c>
      <c r="AB95" s="41">
        <f t="shared" ref="AB95" si="25">AA95+1</f>
        <v>2027</v>
      </c>
      <c r="AC95" s="41">
        <f t="shared" ref="AC95" si="26">AB95+1</f>
        <v>2028</v>
      </c>
      <c r="AD95" s="41">
        <f t="shared" ref="AD95" si="27">AC95+1</f>
        <v>2029</v>
      </c>
      <c r="AE95" s="41">
        <f t="shared" ref="AE95" si="28">AD95+1</f>
        <v>2030</v>
      </c>
      <c r="AF95" s="41">
        <f t="shared" ref="AF95" si="29">AE95+1</f>
        <v>2031</v>
      </c>
      <c r="AG95" s="41">
        <f t="shared" ref="AG95" si="30">AF95+1</f>
        <v>2032</v>
      </c>
      <c r="AH95" s="41">
        <f t="shared" ref="AH95" si="31">AG95+1</f>
        <v>2033</v>
      </c>
      <c r="AI95" s="41">
        <f t="shared" ref="AI95" si="32">AH95+1</f>
        <v>2034</v>
      </c>
      <c r="AJ95" s="41">
        <f t="shared" ref="AJ95" si="33">AI95+1</f>
        <v>2035</v>
      </c>
      <c r="AK95" s="41">
        <f t="shared" ref="AK95" si="34">AJ95+1</f>
        <v>2036</v>
      </c>
      <c r="AL95" s="41">
        <f t="shared" ref="AL95" si="35">AK95+1</f>
        <v>2037</v>
      </c>
      <c r="AM95" s="41">
        <f t="shared" ref="AM95" si="36">AL95+1</f>
        <v>2038</v>
      </c>
      <c r="AN95" s="41">
        <f t="shared" ref="AN95" si="37">AM95+1</f>
        <v>2039</v>
      </c>
      <c r="AO95" s="41">
        <f t="shared" ref="AO95" si="38">AN95+1</f>
        <v>2040</v>
      </c>
      <c r="AP95" s="41">
        <f t="shared" ref="AP95" si="39">AO95+1</f>
        <v>2041</v>
      </c>
      <c r="AQ95" s="41">
        <f t="shared" ref="AQ95" si="40">AP95+1</f>
        <v>2042</v>
      </c>
      <c r="AR95" s="41">
        <f t="shared" ref="AR95" si="41">AQ95+1</f>
        <v>2043</v>
      </c>
      <c r="AS95" s="41">
        <f t="shared" ref="AS95" si="42">AR95+1</f>
        <v>2044</v>
      </c>
      <c r="AT95" s="41">
        <f t="shared" ref="AT95" si="43">AS95+1</f>
        <v>2045</v>
      </c>
      <c r="AU95" s="41">
        <f t="shared" ref="AU95" si="44">AT95+1</f>
        <v>2046</v>
      </c>
      <c r="AV95" s="41">
        <f t="shared" ref="AV95" si="45">AU95+1</f>
        <v>2047</v>
      </c>
      <c r="AW95" s="41">
        <f t="shared" ref="AW95" si="46">AV95+1</f>
        <v>2048</v>
      </c>
      <c r="AX95" s="41">
        <f t="shared" ref="AX95" si="47">AW95+1</f>
        <v>2049</v>
      </c>
      <c r="AY95" s="41">
        <f t="shared" ref="AY95" si="48">AX95+1</f>
        <v>2050</v>
      </c>
      <c r="AZ95" s="41">
        <f t="shared" ref="AZ95" si="49">AY95+1</f>
        <v>2051</v>
      </c>
      <c r="BA95" s="41">
        <f t="shared" ref="BA95" si="50">AZ95+1</f>
        <v>2052</v>
      </c>
      <c r="BB95" s="41">
        <f t="shared" ref="BB95" si="51">BA95+1</f>
        <v>2053</v>
      </c>
      <c r="BC95" s="41">
        <f t="shared" ref="BC95" si="52">BB95+1</f>
        <v>2054</v>
      </c>
      <c r="BD95" s="41">
        <f t="shared" ref="BD95" si="53">BC95+1</f>
        <v>2055</v>
      </c>
      <c r="BE95" s="41">
        <f t="shared" ref="BE95" si="54">BD95+1</f>
        <v>2056</v>
      </c>
      <c r="BF95" s="41">
        <f t="shared" ref="BF95" si="55">BE95+1</f>
        <v>2057</v>
      </c>
      <c r="BG95" s="41">
        <f t="shared" ref="BG95" si="56">BF95+1</f>
        <v>2058</v>
      </c>
      <c r="BH95" s="41">
        <f t="shared" ref="BH95" si="57">BG95+1</f>
        <v>2059</v>
      </c>
      <c r="BI95" s="41">
        <f t="shared" ref="BI95" si="58">BH95+1</f>
        <v>2060</v>
      </c>
    </row>
    <row r="96" spans="1:61" ht="45" hidden="1" outlineLevel="1">
      <c r="A96" s="230" t="str">
        <f>Indeksacja!$A$63</f>
        <v>Indeksacja = Y * (PKB per cap PL) * (inflacja PL do roku bazowego), 
skumulowane od 2016</v>
      </c>
      <c r="B96" s="85"/>
      <c r="C96" s="85"/>
      <c r="D96" s="85"/>
      <c r="E96" s="85"/>
      <c r="F96" s="85"/>
      <c r="G96" s="85"/>
      <c r="H96" s="85"/>
      <c r="I96" s="85"/>
      <c r="J96" s="85"/>
      <c r="K96" s="85"/>
      <c r="L96" s="85"/>
      <c r="M96" s="85"/>
      <c r="N96" s="85"/>
      <c r="O96" s="85"/>
      <c r="P96" s="85"/>
      <c r="Q96" s="391">
        <f>Indeksacja!Q$63</f>
        <v>1</v>
      </c>
      <c r="R96" s="80">
        <f>Indeksacja!R$63</f>
        <v>1.0591673885350317</v>
      </c>
      <c r="S96" s="80">
        <f>Indeksacja!S$63</f>
        <v>1.1226294257010379</v>
      </c>
      <c r="T96" s="80">
        <f>Indeksacja!T$63</f>
        <v>1.1916636822847133</v>
      </c>
      <c r="U96" s="80">
        <f>Indeksacja!U$63</f>
        <v>1.2104272262990794</v>
      </c>
      <c r="V96" s="80">
        <f>Indeksacja!V$63</f>
        <v>1.3324960011633553</v>
      </c>
      <c r="W96" s="80">
        <f>Indeksacja!W$63</f>
        <v>1.3751269409968534</v>
      </c>
      <c r="X96" s="80">
        <f>Indeksacja!X$63</f>
        <v>1.4126904978312076</v>
      </c>
      <c r="Y96" s="80">
        <f>Indeksacja!Y$63</f>
        <v>1.4492185071037047</v>
      </c>
      <c r="Z96" s="80">
        <f>Indeksacja!Z$63</f>
        <v>1.4880680576714531</v>
      </c>
      <c r="AA96" s="80">
        <f>Indeksacja!AA$63</f>
        <v>1.5269880385560826</v>
      </c>
      <c r="AB96" s="80">
        <f>Indeksacja!AB$63</f>
        <v>1.5671555517468385</v>
      </c>
      <c r="AC96" s="80">
        <f>Indeksacja!AC$63</f>
        <v>1.6073562798934755</v>
      </c>
      <c r="AD96" s="80">
        <f>Indeksacja!AD$63</f>
        <v>1.6475326055002302</v>
      </c>
      <c r="AE96" s="80">
        <f>Indeksacja!AE$63</f>
        <v>1.6876232622956184</v>
      </c>
      <c r="AF96" s="80">
        <f>Indeksacja!AF$63</f>
        <v>1.7289568355106617</v>
      </c>
      <c r="AG96" s="80">
        <f>Indeksacja!AG$63</f>
        <v>1.7701718496658987</v>
      </c>
      <c r="AH96" s="80">
        <f>Indeksacja!AH$63</f>
        <v>1.8126134626948676</v>
      </c>
      <c r="AI96" s="80">
        <f>Indeksacja!AI$63</f>
        <v>1.8548440766703791</v>
      </c>
      <c r="AJ96" s="80">
        <f>Indeksacja!AJ$63</f>
        <v>1.8967718070712669</v>
      </c>
      <c r="AK96" s="80">
        <f>Indeksacja!AK$63</f>
        <v>1.9383296682979272</v>
      </c>
      <c r="AL96" s="80">
        <f>Indeksacja!AL$63</f>
        <v>1.9794259962014125</v>
      </c>
      <c r="AM96" s="80">
        <f>Indeksacja!AM$63</f>
        <v>2.0199676772402264</v>
      </c>
      <c r="AN96" s="80">
        <f>Indeksacja!AN$63</f>
        <v>2.0598577518909007</v>
      </c>
      <c r="AO96" s="80">
        <f>Indeksacja!AO$63</f>
        <v>2.1006671073295844</v>
      </c>
      <c r="AP96" s="80">
        <f>Indeksacja!AP$63</f>
        <v>2.1390119388600346</v>
      </c>
      <c r="AQ96" s="80">
        <f>Indeksacja!AQ$63</f>
        <v>2.1781615340961782</v>
      </c>
      <c r="AR96" s="80">
        <f>Indeksacja!AR$63</f>
        <v>2.2181177249402304</v>
      </c>
      <c r="AS96" s="80">
        <f>Indeksacja!AS$63</f>
        <v>2.2571163810937258</v>
      </c>
      <c r="AT96" s="80">
        <f>Indeksacja!AT$63</f>
        <v>2.2950723251970113</v>
      </c>
      <c r="AU96" s="80">
        <f>Indeksacja!AU$63</f>
        <v>2.3319014089895655</v>
      </c>
      <c r="AV96" s="80">
        <f>Indeksacja!AV$63</f>
        <v>2.3694036506022047</v>
      </c>
      <c r="AW96" s="80">
        <f>Indeksacja!AW$63</f>
        <v>2.4075728268350982</v>
      </c>
      <c r="AX96" s="80">
        <f>Indeksacja!AX$63</f>
        <v>2.4464157770152815</v>
      </c>
      <c r="AY96" s="80">
        <f>Indeksacja!AY$63</f>
        <v>2.4839608964222504</v>
      </c>
      <c r="AZ96" s="80">
        <f>Indeksacja!AZ$63</f>
        <v>2.5217507825316035</v>
      </c>
      <c r="BA96" s="80">
        <f>Indeksacja!BA$63</f>
        <v>2.5601155873098516</v>
      </c>
      <c r="BB96" s="80">
        <f>Indeksacja!BB$63</f>
        <v>2.5990640573161898</v>
      </c>
      <c r="BC96" s="80">
        <f>Indeksacja!BC$63</f>
        <v>2.6386050721761096</v>
      </c>
      <c r="BD96" s="80">
        <f>Indeksacja!BD$63</f>
        <v>2.6787476466058107</v>
      </c>
      <c r="BE96" s="80">
        <f>Indeksacja!BE$63</f>
        <v>2.7216545334567064</v>
      </c>
      <c r="BF96" s="80">
        <f>Indeksacja!BF$63</f>
        <v>2.765248682111292</v>
      </c>
      <c r="BG96" s="80">
        <f>Indeksacja!BG$63</f>
        <v>2.8095411007974178</v>
      </c>
      <c r="BH96" s="80">
        <f>Indeksacja!BH$63</f>
        <v>2.856801727519541</v>
      </c>
      <c r="BI96" s="80">
        <f>Indeksacja!BI$63</f>
        <v>2.9048573477149877</v>
      </c>
    </row>
    <row r="97" spans="1:18" hidden="1" outlineLevel="1"/>
    <row r="98" spans="1:18" collapsed="1">
      <c r="A98" s="1" t="s">
        <v>498</v>
      </c>
      <c r="B98" s="315"/>
      <c r="C98" s="315"/>
      <c r="D98" s="315"/>
      <c r="E98" s="315"/>
      <c r="F98" s="315"/>
      <c r="G98" s="315"/>
      <c r="H98" s="315"/>
      <c r="I98" s="315"/>
      <c r="J98" s="315"/>
      <c r="K98" s="315"/>
      <c r="L98" s="315"/>
      <c r="M98" s="315"/>
      <c r="N98" s="315"/>
      <c r="O98" s="315"/>
      <c r="P98" s="315"/>
      <c r="Q98" s="315"/>
      <c r="R98" s="315"/>
    </row>
    <row r="99" spans="1:18" ht="45">
      <c r="A99" s="319"/>
      <c r="B99" s="320" t="s">
        <v>119</v>
      </c>
      <c r="C99" s="321"/>
      <c r="D99" s="321"/>
      <c r="E99" s="321"/>
      <c r="F99" s="321"/>
      <c r="G99" s="321"/>
      <c r="H99" s="321"/>
      <c r="I99" s="321"/>
      <c r="J99" s="321"/>
      <c r="K99" s="321"/>
      <c r="L99" s="321"/>
      <c r="M99" s="321"/>
      <c r="N99" s="321"/>
      <c r="O99" s="321"/>
      <c r="P99" s="320" t="s">
        <v>114</v>
      </c>
      <c r="Q99" s="320" t="s">
        <v>122</v>
      </c>
      <c r="R99" s="320" t="s">
        <v>123</v>
      </c>
    </row>
    <row r="100" spans="1:18">
      <c r="A100" s="186" t="s">
        <v>149</v>
      </c>
      <c r="B100" s="326"/>
      <c r="C100" s="327"/>
      <c r="D100" s="327"/>
      <c r="E100" s="327"/>
      <c r="F100" s="327"/>
      <c r="G100" s="327"/>
      <c r="H100" s="327"/>
      <c r="I100" s="327"/>
      <c r="J100" s="327"/>
      <c r="K100" s="327"/>
      <c r="L100" s="327"/>
      <c r="M100" s="327"/>
      <c r="N100" s="327"/>
      <c r="O100" s="327"/>
      <c r="P100" s="326"/>
      <c r="Q100" s="326"/>
      <c r="R100" s="328"/>
    </row>
    <row r="101" spans="1:18">
      <c r="A101" s="322" t="s">
        <v>99</v>
      </c>
      <c r="B101" s="323"/>
      <c r="C101" s="324"/>
      <c r="D101" s="324"/>
      <c r="E101" s="324"/>
      <c r="F101" s="324"/>
      <c r="G101" s="324"/>
      <c r="H101" s="324"/>
      <c r="I101" s="324"/>
      <c r="J101" s="324"/>
      <c r="K101" s="324"/>
      <c r="L101" s="324"/>
      <c r="M101" s="324"/>
      <c r="N101" s="324"/>
      <c r="O101" s="324"/>
      <c r="P101" s="325">
        <f>T36*$B$81*$Q$84*$Q$88/100</f>
        <v>2.4208926665938643E-2</v>
      </c>
      <c r="Q101" s="325">
        <f>U36*$B$81*$Q$84*$Q$88/100</f>
        <v>3.221159327051714E-2</v>
      </c>
      <c r="R101" s="325">
        <f>V36*$B$81*$Q$84*$Q$88/100</f>
        <v>1.6779791717633656E-2</v>
      </c>
    </row>
    <row r="102" spans="1:18">
      <c r="A102" s="318" t="s">
        <v>148</v>
      </c>
      <c r="B102" s="225"/>
      <c r="C102" s="13"/>
      <c r="D102" s="13"/>
      <c r="E102" s="13"/>
      <c r="F102" s="13"/>
      <c r="G102" s="13"/>
      <c r="H102" s="13"/>
      <c r="I102" s="13"/>
      <c r="J102" s="13"/>
      <c r="K102" s="13"/>
      <c r="L102" s="13"/>
      <c r="M102" s="13"/>
      <c r="N102" s="13"/>
      <c r="O102" s="13"/>
      <c r="P102" s="10">
        <f>T40*$B$81*$Q$84*$Q$88/100</f>
        <v>0.17157704502736823</v>
      </c>
      <c r="Q102" s="10">
        <f>U40*$B$81*$Q$84*$Q$88/100</f>
        <v>0.42108659562581224</v>
      </c>
      <c r="R102" s="10">
        <f>V40*$B$81*$Q$84*$Q$88/100</f>
        <v>0.16684158727682583</v>
      </c>
    </row>
    <row r="103" spans="1:18">
      <c r="A103" s="186" t="s">
        <v>466</v>
      </c>
      <c r="B103" s="326"/>
      <c r="C103" s="327"/>
      <c r="D103" s="327"/>
      <c r="E103" s="327"/>
      <c r="F103" s="327"/>
      <c r="G103" s="327"/>
      <c r="H103" s="327"/>
      <c r="I103" s="327"/>
      <c r="J103" s="327"/>
      <c r="K103" s="327"/>
      <c r="L103" s="327"/>
      <c r="M103" s="327"/>
      <c r="N103" s="327"/>
      <c r="O103" s="327"/>
      <c r="P103" s="326"/>
      <c r="Q103" s="326"/>
      <c r="R103" s="328"/>
    </row>
    <row r="104" spans="1:18" ht="30">
      <c r="A104" s="318" t="s">
        <v>147</v>
      </c>
      <c r="B104" s="225"/>
      <c r="C104" s="13"/>
      <c r="D104" s="13"/>
      <c r="E104" s="13"/>
      <c r="F104" s="13"/>
      <c r="G104" s="13"/>
      <c r="H104" s="13"/>
      <c r="I104" s="13"/>
      <c r="J104" s="13"/>
      <c r="K104" s="13"/>
      <c r="L104" s="13"/>
      <c r="M104" s="13"/>
      <c r="N104" s="13"/>
      <c r="O104" s="13"/>
      <c r="P104" s="10">
        <f>T39*$B$81*$Q$84*$Q$88/100</f>
        <v>2.9568476029862346E-3</v>
      </c>
      <c r="Q104" s="10">
        <f>U39*$B$81*$Q$84*$Q$88/100</f>
        <v>2.339792509625896E-3</v>
      </c>
      <c r="R104" s="10">
        <f>V39*$B$81*$Q$84*$Q$88/100</f>
        <v>2.1187041508309232E-3</v>
      </c>
    </row>
    <row r="105" spans="1:18">
      <c r="A105" s="318" t="s">
        <v>150</v>
      </c>
      <c r="B105" s="225"/>
      <c r="C105" s="13"/>
      <c r="D105" s="13"/>
      <c r="E105" s="13"/>
      <c r="F105" s="13"/>
      <c r="G105" s="13"/>
      <c r="H105" s="13"/>
      <c r="I105" s="13"/>
      <c r="J105" s="13"/>
      <c r="K105" s="13"/>
      <c r="L105" s="13"/>
      <c r="M105" s="13"/>
      <c r="N105" s="13"/>
      <c r="O105" s="13"/>
      <c r="P105" s="10">
        <f>T44*$B$81*$Q$84*$Q$88/100</f>
        <v>5.5467998411300179E-3</v>
      </c>
      <c r="Q105" s="10">
        <f>U44*$B$81*$Q$84*$Q$88/100</f>
        <v>1.8609536951316355E-2</v>
      </c>
      <c r="R105" s="10">
        <f>V44*$B$81*$Q$84*$Q$88/100</f>
        <v>7.9816156160504078E-3</v>
      </c>
    </row>
    <row r="106" spans="1:18"/>
    <row r="107" spans="1:18" ht="15.75" thickBot="1">
      <c r="P107" s="178" t="str">
        <f>'VOC eksploatacja samochody'!$AA$81</f>
        <v xml:space="preserve">Według opracowania źródłowego, poniższe mnożniki dotyczą wszystkich kategorii kosztów użytkowników dróg, oprócz kosztów czasu. </v>
      </c>
      <c r="Q107" s="178"/>
      <c r="R107" s="178"/>
    </row>
    <row r="108" spans="1:18">
      <c r="P108" s="243" t="s">
        <v>45</v>
      </c>
      <c r="Q108" s="244"/>
      <c r="R108" s="245"/>
    </row>
    <row r="109" spans="1:18" ht="15.75" thickBot="1">
      <c r="P109" s="246"/>
      <c r="Q109" s="247" t="s">
        <v>10</v>
      </c>
      <c r="R109" s="248" t="s">
        <v>6</v>
      </c>
    </row>
    <row r="110" spans="1:18" ht="30">
      <c r="P110" s="233" t="s">
        <v>8</v>
      </c>
      <c r="Q110" s="30">
        <v>1</v>
      </c>
      <c r="R110" s="31">
        <v>1</v>
      </c>
    </row>
    <row r="111" spans="1:18" ht="45">
      <c r="P111" s="233" t="s">
        <v>9</v>
      </c>
      <c r="Q111" s="234">
        <f>AVERAGE(Q112:Q113)</f>
        <v>1.1687500000000002</v>
      </c>
      <c r="R111" s="235">
        <f>AVERAGE(R112:R113)</f>
        <v>1.1875</v>
      </c>
    </row>
    <row r="112" spans="1:18">
      <c r="P112" s="249" t="s">
        <v>124</v>
      </c>
      <c r="Q112" s="250">
        <f>'VOC eksploatacja samochody'!$AB$89</f>
        <v>1.1125</v>
      </c>
      <c r="R112" s="251">
        <f>'VOC eksploatacja samochody'!$AC$89</f>
        <v>1.125</v>
      </c>
    </row>
    <row r="113" spans="1:25" ht="15.75" thickBot="1">
      <c r="P113" s="252" t="s">
        <v>125</v>
      </c>
      <c r="Q113" s="231">
        <f>'VOC eksploatacja samochody'!$AB$95</f>
        <v>1.2250000000000001</v>
      </c>
      <c r="R113" s="232">
        <f>'VOC eksploatacja samochody'!$AC$95</f>
        <v>1.25</v>
      </c>
    </row>
    <row r="114" spans="1:25">
      <c r="P114" s="253" t="str">
        <f>'VOC eksploatacja samochody'!$AA$99</f>
        <v>Źródło: Obliczenia własne na podstawie "Optimisation of Maintenance", OECD/ITF 2012, str. 12</v>
      </c>
      <c r="Q114" s="178"/>
      <c r="R114" s="178"/>
    </row>
    <row r="115" spans="1:25"/>
    <row r="116" spans="1:25">
      <c r="A116" s="645" t="str">
        <f>'VOC eksploatacja samochody'!$A$198</f>
        <v xml:space="preserve">Dodatkowo, dla dróg w terenie falistym (tzn. jeśli nachylenie podłużne drogi wynosi pomiędzy 2% i 6%), należy przemnożyć wartości dla terenu płaskiego przez poniższe współczynniki. </v>
      </c>
      <c r="B116" s="645"/>
      <c r="C116" s="645"/>
      <c r="D116" s="645"/>
      <c r="E116" s="645"/>
      <c r="F116" s="645"/>
      <c r="G116" s="645"/>
      <c r="H116" s="645"/>
      <c r="I116" s="645"/>
      <c r="J116" s="645"/>
      <c r="K116" s="645"/>
      <c r="L116" s="645"/>
      <c r="M116" s="645"/>
      <c r="N116" s="645"/>
      <c r="O116" s="645"/>
      <c r="P116" s="645"/>
      <c r="Q116" s="645"/>
      <c r="R116" s="645"/>
      <c r="S116" s="645"/>
      <c r="T116" s="645"/>
      <c r="U116" s="645"/>
      <c r="V116" s="645"/>
    </row>
    <row r="117" spans="1:25" s="513" customFormat="1">
      <c r="A117" s="645"/>
      <c r="B117" s="645"/>
      <c r="C117" s="645"/>
      <c r="D117" s="645"/>
      <c r="E117" s="645"/>
      <c r="F117" s="645"/>
      <c r="G117" s="645"/>
      <c r="H117" s="645"/>
      <c r="I117" s="645"/>
      <c r="J117" s="645"/>
      <c r="K117" s="645"/>
      <c r="L117" s="645"/>
      <c r="M117" s="645"/>
      <c r="N117" s="645"/>
      <c r="O117" s="645"/>
      <c r="P117" s="645"/>
      <c r="Q117" s="645"/>
      <c r="R117" s="645"/>
      <c r="S117" s="645"/>
      <c r="T117" s="645"/>
      <c r="U117" s="645"/>
      <c r="V117" s="645"/>
    </row>
    <row r="118" spans="1:25">
      <c r="A118" s="645" t="str">
        <f>'VOC eksploatacja samochody'!$A$200</f>
        <v xml:space="preserve">Pominięto współczynniki dla dróg w terenie górskim, tj. o nachyleniu podłużnym powyżej 6%, ponieważ nie mają one istotnego znaczenia dla oceny przez CUPT projektów transportowych realizowanych w Polsce. </v>
      </c>
      <c r="B118" s="645"/>
      <c r="C118" s="645"/>
      <c r="D118" s="645"/>
      <c r="E118" s="645"/>
      <c r="F118" s="645"/>
      <c r="G118" s="645"/>
      <c r="H118" s="645"/>
      <c r="I118" s="645"/>
      <c r="J118" s="645"/>
      <c r="K118" s="645"/>
      <c r="L118" s="645"/>
      <c r="M118" s="645"/>
      <c r="N118" s="645"/>
      <c r="O118" s="645"/>
      <c r="P118" s="645"/>
      <c r="Q118" s="645"/>
      <c r="R118" s="645"/>
      <c r="S118" s="645"/>
      <c r="T118" s="645"/>
      <c r="U118" s="645"/>
      <c r="V118" s="645"/>
    </row>
    <row r="119" spans="1:25" s="513" customFormat="1">
      <c r="A119" s="645"/>
      <c r="B119" s="645"/>
      <c r="C119" s="645"/>
      <c r="D119" s="645"/>
      <c r="E119" s="645"/>
      <c r="F119" s="645"/>
      <c r="G119" s="645"/>
      <c r="H119" s="645"/>
      <c r="I119" s="645"/>
      <c r="J119" s="645"/>
      <c r="K119" s="645"/>
      <c r="L119" s="645"/>
      <c r="M119" s="645"/>
      <c r="N119" s="645"/>
      <c r="O119" s="645"/>
      <c r="P119" s="645"/>
      <c r="Q119" s="645"/>
      <c r="R119" s="645"/>
      <c r="S119" s="645"/>
      <c r="T119" s="645"/>
      <c r="U119" s="645"/>
      <c r="V119" s="645"/>
    </row>
    <row r="120" spans="1:25" s="412" customFormat="1" ht="15.75" thickBot="1">
      <c r="A120" s="412" t="s">
        <v>476</v>
      </c>
    </row>
    <row r="121" spans="1:25">
      <c r="P121" s="243" t="s">
        <v>44</v>
      </c>
      <c r="Q121" s="244"/>
      <c r="R121" s="245"/>
    </row>
    <row r="122" spans="1:25" ht="15.75" thickBot="1">
      <c r="P122" s="254" t="s">
        <v>43</v>
      </c>
      <c r="Q122" s="255" t="s">
        <v>10</v>
      </c>
      <c r="R122" s="256" t="s">
        <v>6</v>
      </c>
    </row>
    <row r="123" spans="1:25">
      <c r="P123" s="257" t="s">
        <v>13</v>
      </c>
      <c r="Q123" s="30">
        <f>'Zmiany klimatu (GHG) samochody'!$T$74</f>
        <v>1</v>
      </c>
      <c r="R123" s="31">
        <f>'Zmiany klimatu (GHG) samochody'!$U$74</f>
        <v>1</v>
      </c>
    </row>
    <row r="124" spans="1:25" ht="15.75" thickBot="1">
      <c r="P124" s="258" t="s">
        <v>12</v>
      </c>
      <c r="Q124" s="259">
        <f>'Zmiany klimatu (GHG) samochody'!$T$75</f>
        <v>1.1499999999999999</v>
      </c>
      <c r="R124" s="260">
        <f>'Zmiany klimatu (GHG) samochody'!$U$75</f>
        <v>1.6966788184975283</v>
      </c>
    </row>
    <row r="125" spans="1:25">
      <c r="P125" s="35" t="str">
        <f>'Zmiany klimatu (GHG) samochody'!$S$76</f>
        <v>Źródło: Obliczenia własne</v>
      </c>
      <c r="Q125" s="178"/>
      <c r="R125" s="178"/>
    </row>
    <row r="126" spans="1:25" ht="15" customHeight="1">
      <c r="P126" s="648" t="str">
        <f>'Zmiany klimatu (GHG) samochody'!$S$77</f>
        <v xml:space="preserve">W obliczeniach mnożników nachylenia podłużnego drogi uwzględniono, że teren falisty zwiększa zużycie paliwa lub energii w pojazdach lekkich o 15%. W przypadku HGV przyjęto dodatkowe założenia dotyczące funkcji zużycia paliwa. </v>
      </c>
      <c r="Q126" s="648"/>
      <c r="R126" s="648"/>
      <c r="S126" s="648"/>
      <c r="T126" s="648"/>
      <c r="U126" s="648"/>
      <c r="V126" s="648"/>
      <c r="W126" s="648"/>
      <c r="X126" s="514"/>
      <c r="Y126" s="514"/>
    </row>
    <row r="127" spans="1:25" s="454" customFormat="1">
      <c r="P127" s="648"/>
      <c r="Q127" s="648"/>
      <c r="R127" s="648"/>
      <c r="S127" s="648"/>
      <c r="T127" s="648"/>
      <c r="U127" s="648"/>
      <c r="V127" s="648"/>
      <c r="W127" s="648"/>
      <c r="X127" s="514"/>
      <c r="Y127" s="514"/>
    </row>
    <row r="128" spans="1:25" s="420" customFormat="1"/>
    <row r="129" spans="1:61">
      <c r="A129" s="685" t="s">
        <v>467</v>
      </c>
      <c r="B129" s="685"/>
      <c r="C129" s="685"/>
      <c r="D129" s="685"/>
      <c r="E129" s="685"/>
      <c r="F129" s="685"/>
      <c r="G129" s="685"/>
      <c r="H129" s="685"/>
      <c r="I129" s="685"/>
      <c r="J129" s="685"/>
      <c r="K129" s="685"/>
      <c r="L129" s="685"/>
      <c r="M129" s="685"/>
      <c r="N129" s="685"/>
      <c r="O129" s="685"/>
      <c r="P129" s="685"/>
      <c r="Q129" s="685"/>
      <c r="R129" s="685"/>
      <c r="S129" s="685"/>
      <c r="T129" s="685"/>
      <c r="U129" s="685"/>
      <c r="V129" s="685"/>
    </row>
    <row r="130" spans="1:61" s="513" customFormat="1">
      <c r="A130" s="685"/>
      <c r="B130" s="685"/>
      <c r="C130" s="685"/>
      <c r="D130" s="685"/>
      <c r="E130" s="685"/>
      <c r="F130" s="685"/>
      <c r="G130" s="685"/>
      <c r="H130" s="685"/>
      <c r="I130" s="685"/>
      <c r="J130" s="685"/>
      <c r="K130" s="685"/>
      <c r="L130" s="685"/>
      <c r="M130" s="685"/>
      <c r="N130" s="685"/>
      <c r="O130" s="685"/>
      <c r="P130" s="685"/>
      <c r="Q130" s="685"/>
      <c r="R130" s="685"/>
      <c r="S130" s="685"/>
      <c r="T130" s="685"/>
      <c r="U130" s="685"/>
      <c r="V130" s="685"/>
    </row>
    <row r="131" spans="1:61">
      <c r="A131" s="645" t="s">
        <v>468</v>
      </c>
      <c r="B131" s="645"/>
      <c r="C131" s="645"/>
      <c r="D131" s="645"/>
      <c r="E131" s="645"/>
      <c r="F131" s="645"/>
      <c r="G131" s="645"/>
      <c r="H131" s="645"/>
      <c r="I131" s="645"/>
      <c r="J131" s="645"/>
      <c r="K131" s="645"/>
      <c r="L131" s="645"/>
      <c r="M131" s="645"/>
      <c r="N131" s="645"/>
      <c r="O131" s="645"/>
      <c r="P131" s="645"/>
      <c r="Q131" s="645"/>
      <c r="R131" s="645"/>
      <c r="S131" s="645"/>
      <c r="T131" s="645"/>
      <c r="U131" s="645"/>
      <c r="V131" s="645"/>
    </row>
    <row r="132" spans="1:61" s="513" customFormat="1">
      <c r="A132" s="650"/>
      <c r="B132" s="650"/>
      <c r="C132" s="650"/>
      <c r="D132" s="650"/>
      <c r="E132" s="650"/>
      <c r="F132" s="650"/>
      <c r="G132" s="650"/>
      <c r="H132" s="650"/>
      <c r="I132" s="650"/>
      <c r="J132" s="650"/>
      <c r="K132" s="650"/>
      <c r="L132" s="650"/>
      <c r="M132" s="650"/>
      <c r="N132" s="650"/>
      <c r="O132" s="650"/>
      <c r="P132" s="650"/>
      <c r="Q132" s="650"/>
      <c r="R132" s="650"/>
      <c r="S132" s="650"/>
      <c r="T132" s="650"/>
      <c r="U132" s="650"/>
      <c r="V132" s="650"/>
    </row>
    <row r="133" spans="1:61" s="406" customFormat="1">
      <c r="A133" s="664"/>
      <c r="B133" s="508" t="s">
        <v>221</v>
      </c>
      <c r="C133" s="497"/>
      <c r="D133" s="497"/>
      <c r="E133" s="497"/>
      <c r="F133" s="497"/>
      <c r="G133" s="497"/>
      <c r="H133" s="497"/>
      <c r="I133" s="497"/>
      <c r="J133" s="497"/>
      <c r="K133" s="497"/>
      <c r="L133" s="497"/>
      <c r="M133" s="497"/>
      <c r="N133" s="497"/>
      <c r="O133" s="497"/>
      <c r="P133" s="500"/>
      <c r="Q133" s="6"/>
      <c r="R133" s="6"/>
      <c r="S133" s="6"/>
      <c r="T133" s="6">
        <v>2020</v>
      </c>
      <c r="U133" s="6">
        <f t="shared" ref="U133" si="59">T133+1</f>
        <v>2021</v>
      </c>
      <c r="V133" s="6">
        <f t="shared" ref="V133" si="60">U133+1</f>
        <v>2022</v>
      </c>
      <c r="W133" s="6">
        <f t="shared" ref="W133:BI133" si="61">V133+1</f>
        <v>2023</v>
      </c>
      <c r="X133" s="6">
        <f t="shared" si="61"/>
        <v>2024</v>
      </c>
      <c r="Y133" s="6">
        <f t="shared" si="61"/>
        <v>2025</v>
      </c>
      <c r="Z133" s="6">
        <f t="shared" si="61"/>
        <v>2026</v>
      </c>
      <c r="AA133" s="6">
        <f t="shared" si="61"/>
        <v>2027</v>
      </c>
      <c r="AB133" s="6">
        <f t="shared" si="61"/>
        <v>2028</v>
      </c>
      <c r="AC133" s="6">
        <f t="shared" si="61"/>
        <v>2029</v>
      </c>
      <c r="AD133" s="6">
        <f t="shared" si="61"/>
        <v>2030</v>
      </c>
      <c r="AE133" s="6">
        <f t="shared" si="61"/>
        <v>2031</v>
      </c>
      <c r="AF133" s="6">
        <f t="shared" si="61"/>
        <v>2032</v>
      </c>
      <c r="AG133" s="6">
        <f t="shared" si="61"/>
        <v>2033</v>
      </c>
      <c r="AH133" s="6">
        <f t="shared" si="61"/>
        <v>2034</v>
      </c>
      <c r="AI133" s="6">
        <f t="shared" si="61"/>
        <v>2035</v>
      </c>
      <c r="AJ133" s="6">
        <f t="shared" si="61"/>
        <v>2036</v>
      </c>
      <c r="AK133" s="6">
        <f t="shared" si="61"/>
        <v>2037</v>
      </c>
      <c r="AL133" s="6">
        <f t="shared" si="61"/>
        <v>2038</v>
      </c>
      <c r="AM133" s="6">
        <f t="shared" si="61"/>
        <v>2039</v>
      </c>
      <c r="AN133" s="6">
        <f t="shared" si="61"/>
        <v>2040</v>
      </c>
      <c r="AO133" s="6">
        <f t="shared" si="61"/>
        <v>2041</v>
      </c>
      <c r="AP133" s="6">
        <f t="shared" si="61"/>
        <v>2042</v>
      </c>
      <c r="AQ133" s="6">
        <f t="shared" si="61"/>
        <v>2043</v>
      </c>
      <c r="AR133" s="6">
        <f t="shared" si="61"/>
        <v>2044</v>
      </c>
      <c r="AS133" s="6">
        <f t="shared" si="61"/>
        <v>2045</v>
      </c>
      <c r="AT133" s="6">
        <f t="shared" si="61"/>
        <v>2046</v>
      </c>
      <c r="AU133" s="6">
        <f t="shared" si="61"/>
        <v>2047</v>
      </c>
      <c r="AV133" s="6">
        <f t="shared" si="61"/>
        <v>2048</v>
      </c>
      <c r="AW133" s="6">
        <f t="shared" si="61"/>
        <v>2049</v>
      </c>
      <c r="AX133" s="6">
        <f t="shared" si="61"/>
        <v>2050</v>
      </c>
      <c r="AY133" s="6">
        <f t="shared" si="61"/>
        <v>2051</v>
      </c>
      <c r="AZ133" s="6">
        <f t="shared" si="61"/>
        <v>2052</v>
      </c>
      <c r="BA133" s="6">
        <f t="shared" si="61"/>
        <v>2053</v>
      </c>
      <c r="BB133" s="6">
        <f t="shared" si="61"/>
        <v>2054</v>
      </c>
      <c r="BC133" s="6">
        <f t="shared" si="61"/>
        <v>2055</v>
      </c>
      <c r="BD133" s="6">
        <f t="shared" si="61"/>
        <v>2056</v>
      </c>
      <c r="BE133" s="6">
        <f t="shared" si="61"/>
        <v>2057</v>
      </c>
      <c r="BF133" s="6">
        <f t="shared" si="61"/>
        <v>2058</v>
      </c>
      <c r="BG133" s="6">
        <f t="shared" si="61"/>
        <v>2059</v>
      </c>
      <c r="BH133" s="6">
        <f t="shared" si="61"/>
        <v>2060</v>
      </c>
      <c r="BI133" s="6">
        <f t="shared" si="61"/>
        <v>2061</v>
      </c>
    </row>
    <row r="134" spans="1:61">
      <c r="A134" s="665"/>
      <c r="B134" s="509" t="s">
        <v>315</v>
      </c>
      <c r="C134" s="505"/>
      <c r="D134" s="505"/>
      <c r="E134" s="505"/>
      <c r="F134" s="505"/>
      <c r="G134" s="505"/>
      <c r="H134" s="505"/>
      <c r="I134" s="505"/>
      <c r="J134" s="505"/>
      <c r="K134" s="505"/>
      <c r="L134" s="505"/>
      <c r="M134" s="505"/>
      <c r="N134" s="505"/>
      <c r="O134" s="505"/>
      <c r="P134" s="510"/>
      <c r="Q134" s="506">
        <f>DATE(2016,12,31)</f>
        <v>42735</v>
      </c>
      <c r="R134" s="506">
        <f>DATE(YEAR(Q134+1),12,31)</f>
        <v>43100</v>
      </c>
      <c r="S134" s="506">
        <f t="shared" ref="S134" si="62">DATE(YEAR(R134+1),12,31)</f>
        <v>43465</v>
      </c>
      <c r="T134" s="506">
        <f>DATE(YEAR(S134+1),12,31)</f>
        <v>43830</v>
      </c>
      <c r="U134" s="506">
        <f t="shared" ref="U134:BI134" si="63">DATE(YEAR(T134+1),12,31)</f>
        <v>44196</v>
      </c>
      <c r="V134" s="506">
        <f t="shared" si="63"/>
        <v>44561</v>
      </c>
      <c r="W134" s="506">
        <f t="shared" si="63"/>
        <v>44926</v>
      </c>
      <c r="X134" s="506">
        <f t="shared" si="63"/>
        <v>45291</v>
      </c>
      <c r="Y134" s="506">
        <f t="shared" si="63"/>
        <v>45657</v>
      </c>
      <c r="Z134" s="506">
        <f t="shared" si="63"/>
        <v>46022</v>
      </c>
      <c r="AA134" s="506">
        <f t="shared" si="63"/>
        <v>46387</v>
      </c>
      <c r="AB134" s="506">
        <f t="shared" si="63"/>
        <v>46752</v>
      </c>
      <c r="AC134" s="506">
        <f t="shared" si="63"/>
        <v>47118</v>
      </c>
      <c r="AD134" s="506">
        <f t="shared" si="63"/>
        <v>47483</v>
      </c>
      <c r="AE134" s="506">
        <f t="shared" si="63"/>
        <v>47848</v>
      </c>
      <c r="AF134" s="506">
        <f t="shared" si="63"/>
        <v>48213</v>
      </c>
      <c r="AG134" s="506">
        <f t="shared" si="63"/>
        <v>48579</v>
      </c>
      <c r="AH134" s="506">
        <f t="shared" si="63"/>
        <v>48944</v>
      </c>
      <c r="AI134" s="506">
        <f t="shared" si="63"/>
        <v>49309</v>
      </c>
      <c r="AJ134" s="506">
        <f t="shared" si="63"/>
        <v>49674</v>
      </c>
      <c r="AK134" s="506">
        <f t="shared" si="63"/>
        <v>50040</v>
      </c>
      <c r="AL134" s="506">
        <f t="shared" si="63"/>
        <v>50405</v>
      </c>
      <c r="AM134" s="506">
        <f t="shared" si="63"/>
        <v>50770</v>
      </c>
      <c r="AN134" s="506">
        <f t="shared" si="63"/>
        <v>51135</v>
      </c>
      <c r="AO134" s="506">
        <f t="shared" si="63"/>
        <v>51501</v>
      </c>
      <c r="AP134" s="506">
        <f t="shared" si="63"/>
        <v>51866</v>
      </c>
      <c r="AQ134" s="506">
        <f t="shared" si="63"/>
        <v>52231</v>
      </c>
      <c r="AR134" s="506">
        <f t="shared" si="63"/>
        <v>52596</v>
      </c>
      <c r="AS134" s="506">
        <f t="shared" si="63"/>
        <v>52962</v>
      </c>
      <c r="AT134" s="506">
        <f t="shared" si="63"/>
        <v>53327</v>
      </c>
      <c r="AU134" s="506">
        <f t="shared" si="63"/>
        <v>53692</v>
      </c>
      <c r="AV134" s="506">
        <f t="shared" si="63"/>
        <v>54057</v>
      </c>
      <c r="AW134" s="506">
        <f t="shared" si="63"/>
        <v>54423</v>
      </c>
      <c r="AX134" s="506">
        <f t="shared" si="63"/>
        <v>54788</v>
      </c>
      <c r="AY134" s="506">
        <f t="shared" si="63"/>
        <v>55153</v>
      </c>
      <c r="AZ134" s="506">
        <f t="shared" si="63"/>
        <v>55518</v>
      </c>
      <c r="BA134" s="506">
        <f t="shared" si="63"/>
        <v>55884</v>
      </c>
      <c r="BB134" s="506">
        <f t="shared" si="63"/>
        <v>56249</v>
      </c>
      <c r="BC134" s="506">
        <f t="shared" si="63"/>
        <v>56614</v>
      </c>
      <c r="BD134" s="506">
        <f t="shared" si="63"/>
        <v>56979</v>
      </c>
      <c r="BE134" s="506">
        <f t="shared" si="63"/>
        <v>57345</v>
      </c>
      <c r="BF134" s="506">
        <f t="shared" si="63"/>
        <v>57710</v>
      </c>
      <c r="BG134" s="506">
        <f t="shared" si="63"/>
        <v>58075</v>
      </c>
      <c r="BH134" s="506">
        <f t="shared" si="63"/>
        <v>58440</v>
      </c>
      <c r="BI134" s="506">
        <f t="shared" si="63"/>
        <v>58806</v>
      </c>
    </row>
    <row r="135" spans="1:61" ht="45">
      <c r="A135" s="8" t="s">
        <v>469</v>
      </c>
      <c r="B135" s="129" t="s">
        <v>42</v>
      </c>
      <c r="C135" s="13"/>
      <c r="D135" s="13"/>
      <c r="E135" s="13"/>
      <c r="F135" s="13"/>
      <c r="G135" s="13"/>
      <c r="H135" s="13"/>
      <c r="I135" s="13"/>
      <c r="J135" s="13"/>
      <c r="K135" s="13"/>
      <c r="L135" s="13"/>
      <c r="M135" s="13"/>
      <c r="N135" s="13"/>
      <c r="O135" s="13"/>
      <c r="P135" s="13"/>
      <c r="Q135" s="93"/>
      <c r="R135" s="93"/>
      <c r="S135" s="93"/>
      <c r="T135" s="10">
        <f t="shared" ref="T135:U135" si="64">$Q$101*$Q$110*$Q$123*T$96</f>
        <v>3.8385385849001946E-2</v>
      </c>
      <c r="U135" s="10">
        <f t="shared" si="64"/>
        <v>3.8989789497106152E-2</v>
      </c>
      <c r="V135" s="10">
        <f>$Q$101*$Q$110*$Q$123*V$96</f>
        <v>4.2921819224064538E-2</v>
      </c>
      <c r="W135" s="10">
        <f t="shared" ref="W135:BI135" si="65">$Q$101*$Q$110*$Q$123*W$96</f>
        <v>4.4295029718721061E-2</v>
      </c>
      <c r="X135" s="10">
        <f t="shared" si="65"/>
        <v>4.5505011733263233E-2</v>
      </c>
      <c r="Y135" s="10">
        <f t="shared" si="65"/>
        <v>4.6681637110930589E-2</v>
      </c>
      <c r="Z135" s="10">
        <f t="shared" si="65"/>
        <v>4.7933043032561289E-2</v>
      </c>
      <c r="AA135" s="10">
        <f t="shared" si="65"/>
        <v>4.9186717626913276E-2</v>
      </c>
      <c r="AB135" s="10">
        <f t="shared" si="65"/>
        <v>5.0480577224502041E-2</v>
      </c>
      <c r="AC135" s="10">
        <f t="shared" si="65"/>
        <v>5.1775506728740144E-2</v>
      </c>
      <c r="AD135" s="10">
        <f t="shared" si="65"/>
        <v>5.3069650188288783E-2</v>
      </c>
      <c r="AE135" s="10">
        <f t="shared" si="65"/>
        <v>5.4361034118929723E-2</v>
      </c>
      <c r="AF135" s="10">
        <f t="shared" si="65"/>
        <v>5.569245436774984E-2</v>
      </c>
      <c r="AG135" s="10">
        <f t="shared" si="65"/>
        <v>5.7020055640356941E-2</v>
      </c>
      <c r="AH135" s="10">
        <f t="shared" si="65"/>
        <v>5.8387167616990768E-2</v>
      </c>
      <c r="AI135" s="10">
        <f t="shared" si="65"/>
        <v>5.9747482977934162E-2</v>
      </c>
      <c r="AJ135" s="10">
        <f t="shared" si="65"/>
        <v>6.1098041976363454E-2</v>
      </c>
      <c r="AK135" s="10">
        <f t="shared" si="65"/>
        <v>6.2436686899389235E-2</v>
      </c>
      <c r="AL135" s="10">
        <f t="shared" si="65"/>
        <v>6.3760465098728097E-2</v>
      </c>
      <c r="AM135" s="10">
        <f t="shared" si="65"/>
        <v>6.5066377238853418E-2</v>
      </c>
      <c r="AN135" s="10">
        <f t="shared" si="65"/>
        <v>6.6351300099031507E-2</v>
      </c>
      <c r="AO135" s="10">
        <f t="shared" si="65"/>
        <v>6.7665834458054352E-2</v>
      </c>
      <c r="AP135" s="10">
        <f t="shared" si="65"/>
        <v>6.8900982575339706E-2</v>
      </c>
      <c r="AQ135" s="10">
        <f t="shared" si="65"/>
        <v>7.0162053413791739E-2</v>
      </c>
      <c r="AR135" s="10">
        <f t="shared" si="65"/>
        <v>7.1449105981899519E-2</v>
      </c>
      <c r="AS135" s="10">
        <f t="shared" si="65"/>
        <v>7.270531483201266E-2</v>
      </c>
      <c r="AT135" s="10">
        <f t="shared" si="65"/>
        <v>7.3927936265666169E-2</v>
      </c>
      <c r="AU135" s="10">
        <f t="shared" si="65"/>
        <v>7.5114259733317729E-2</v>
      </c>
      <c r="AV135" s="10">
        <f t="shared" si="65"/>
        <v>7.6322266686876722E-2</v>
      </c>
      <c r="AW135" s="10">
        <f t="shared" si="65"/>
        <v>7.7551756667161381E-2</v>
      </c>
      <c r="AX135" s="10">
        <f t="shared" si="65"/>
        <v>7.8802949979792397E-2</v>
      </c>
      <c r="AY135" s="10">
        <f t="shared" si="65"/>
        <v>8.0012338095422686E-2</v>
      </c>
      <c r="AZ135" s="10">
        <f t="shared" si="65"/>
        <v>8.1229610536516325E-2</v>
      </c>
      <c r="BA135" s="10">
        <f t="shared" si="65"/>
        <v>8.2465402023936055E-2</v>
      </c>
      <c r="BB135" s="10">
        <f t="shared" si="65"/>
        <v>8.3719994298289149E-2</v>
      </c>
      <c r="BC135" s="10">
        <f t="shared" si="65"/>
        <v>8.4993673386460369E-2</v>
      </c>
      <c r="BD135" s="10">
        <f t="shared" si="65"/>
        <v>8.6286729666821355E-2</v>
      </c>
      <c r="BE135" s="10">
        <f t="shared" si="65"/>
        <v>8.7668828854566505E-2</v>
      </c>
      <c r="BF135" s="10">
        <f t="shared" si="65"/>
        <v>8.9073065840002491E-2</v>
      </c>
      <c r="BG135" s="10">
        <f t="shared" si="65"/>
        <v>9.049979521568742E-2</v>
      </c>
      <c r="BH135" s="10">
        <f t="shared" si="65"/>
        <v>9.2022135301370184E-2</v>
      </c>
      <c r="BI135" s="10">
        <f t="shared" si="65"/>
        <v>9.3570083393468367E-2</v>
      </c>
    </row>
    <row r="136" spans="1:61" ht="45">
      <c r="A136" s="8" t="s">
        <v>470</v>
      </c>
      <c r="B136" s="129" t="s">
        <v>42</v>
      </c>
      <c r="C136" s="13"/>
      <c r="D136" s="13"/>
      <c r="E136" s="13"/>
      <c r="F136" s="13"/>
      <c r="G136" s="13"/>
      <c r="H136" s="13"/>
      <c r="I136" s="13"/>
      <c r="J136" s="13"/>
      <c r="K136" s="13"/>
      <c r="L136" s="13"/>
      <c r="M136" s="13"/>
      <c r="N136" s="13"/>
      <c r="O136" s="13"/>
      <c r="P136" s="13"/>
      <c r="Q136" s="93"/>
      <c r="R136" s="93"/>
      <c r="S136" s="93"/>
      <c r="T136" s="10">
        <f t="shared" ref="T136:U136" si="66">$Q$104*$Q$110*$Q$123*T$96</f>
        <v>2.7882457578029857E-3</v>
      </c>
      <c r="U136" s="10">
        <f t="shared" si="66"/>
        <v>2.8321485575418352E-3</v>
      </c>
      <c r="V136" s="10">
        <f>$Q$104*$Q$110*$Q$123*V$96</f>
        <v>3.1177641626284778E-3</v>
      </c>
      <c r="W136" s="10">
        <f t="shared" ref="W136:BI136" si="67">$Q$104*$Q$110*$Q$123*W$96</f>
        <v>3.2175117163292092E-3</v>
      </c>
      <c r="X136" s="10">
        <f t="shared" si="67"/>
        <v>3.3054026452451375E-3</v>
      </c>
      <c r="Y136" s="10">
        <f t="shared" si="67"/>
        <v>3.3908706077324718E-3</v>
      </c>
      <c r="Z136" s="10">
        <f t="shared" si="67"/>
        <v>3.4817704951532217E-3</v>
      </c>
      <c r="AA136" s="10">
        <f t="shared" si="67"/>
        <v>3.5728351749018607E-3</v>
      </c>
      <c r="AB136" s="10">
        <f t="shared" si="67"/>
        <v>3.666818821395891E-3</v>
      </c>
      <c r="AC136" s="10">
        <f t="shared" si="67"/>
        <v>3.760880183994899E-3</v>
      </c>
      <c r="AD136" s="10">
        <f t="shared" si="67"/>
        <v>3.8548844497138749E-3</v>
      </c>
      <c r="AE136" s="10">
        <f t="shared" si="67"/>
        <v>3.9486882681897071E-3</v>
      </c>
      <c r="AF136" s="10">
        <f t="shared" si="67"/>
        <v>4.045400253194339E-3</v>
      </c>
      <c r="AG136" s="10">
        <f t="shared" si="67"/>
        <v>4.141834834598887E-3</v>
      </c>
      <c r="AH136" s="10">
        <f t="shared" si="67"/>
        <v>4.2411394028605094E-3</v>
      </c>
      <c r="AI136" s="10">
        <f t="shared" si="67"/>
        <v>4.3399502771173139E-3</v>
      </c>
      <c r="AJ136" s="10">
        <f t="shared" si="67"/>
        <v>4.4380524666549253E-3</v>
      </c>
      <c r="AK136" s="10">
        <f t="shared" si="67"/>
        <v>4.5352892390691374E-3</v>
      </c>
      <c r="AL136" s="10">
        <f t="shared" si="67"/>
        <v>4.6314461192708423E-3</v>
      </c>
      <c r="AM136" s="10">
        <f t="shared" si="67"/>
        <v>4.7263052408931016E-3</v>
      </c>
      <c r="AN136" s="10">
        <f t="shared" si="67"/>
        <v>4.8196397387691671E-3</v>
      </c>
      <c r="AO136" s="10">
        <f t="shared" si="67"/>
        <v>4.9151251629472601E-3</v>
      </c>
      <c r="AP136" s="10">
        <f t="shared" si="67"/>
        <v>5.0048441125450736E-3</v>
      </c>
      <c r="AQ136" s="10">
        <f t="shared" si="67"/>
        <v>5.0964460422334885E-3</v>
      </c>
      <c r="AR136" s="10">
        <f t="shared" si="67"/>
        <v>5.1899352382835844E-3</v>
      </c>
      <c r="AS136" s="10">
        <f t="shared" si="67"/>
        <v>5.2811840018370092E-3</v>
      </c>
      <c r="AT136" s="10">
        <f t="shared" si="67"/>
        <v>5.3699930355456558E-3</v>
      </c>
      <c r="AU136" s="10">
        <f t="shared" si="67"/>
        <v>5.4561654499398586E-3</v>
      </c>
      <c r="AV136" s="10">
        <f t="shared" si="67"/>
        <v>5.5439129139592926E-3</v>
      </c>
      <c r="AW136" s="10">
        <f t="shared" si="67"/>
        <v>5.6332208666076073E-3</v>
      </c>
      <c r="AX136" s="10">
        <f t="shared" si="67"/>
        <v>5.7241053104909716E-3</v>
      </c>
      <c r="AY136" s="10">
        <f t="shared" si="67"/>
        <v>5.8119530996524078E-3</v>
      </c>
      <c r="AZ136" s="10">
        <f t="shared" si="67"/>
        <v>5.9003735921106873E-3</v>
      </c>
      <c r="BA136" s="10">
        <f t="shared" si="67"/>
        <v>5.9901392749640925E-3</v>
      </c>
      <c r="BB136" s="10">
        <f t="shared" si="67"/>
        <v>6.0812706133463118E-3</v>
      </c>
      <c r="BC136" s="10">
        <f t="shared" si="67"/>
        <v>6.1737883837385578E-3</v>
      </c>
      <c r="BD136" s="10">
        <f t="shared" si="67"/>
        <v>6.2677136787062729E-3</v>
      </c>
      <c r="BE136" s="10">
        <f t="shared" si="67"/>
        <v>6.3681068911713642E-3</v>
      </c>
      <c r="BF136" s="10">
        <f t="shared" si="67"/>
        <v>6.4701081536568819E-3</v>
      </c>
      <c r="BG136" s="10">
        <f t="shared" si="67"/>
        <v>6.5737432231318923E-3</v>
      </c>
      <c r="BH136" s="10">
        <f t="shared" si="67"/>
        <v>6.6843232835365422E-3</v>
      </c>
      <c r="BI136" s="10">
        <f t="shared" si="67"/>
        <v>6.7967634637152753E-3</v>
      </c>
    </row>
    <row r="137" spans="1:61" s="454" customFormat="1" ht="45">
      <c r="A137" s="8" t="s">
        <v>471</v>
      </c>
      <c r="B137" s="129" t="s">
        <v>42</v>
      </c>
      <c r="C137" s="13"/>
      <c r="D137" s="13"/>
      <c r="E137" s="13"/>
      <c r="F137" s="13"/>
      <c r="G137" s="13"/>
      <c r="H137" s="13"/>
      <c r="I137" s="13"/>
      <c r="J137" s="13"/>
      <c r="K137" s="13"/>
      <c r="L137" s="13"/>
      <c r="M137" s="13"/>
      <c r="N137" s="13"/>
      <c r="O137" s="13"/>
      <c r="P137" s="13"/>
      <c r="Q137" s="93"/>
      <c r="R137" s="93"/>
      <c r="S137" s="93"/>
      <c r="T137" s="10">
        <f t="shared" ref="T137:U137" si="68">$Q$102*$R$110*$R$123*T$96</f>
        <v>0.50179360310418952</v>
      </c>
      <c r="U137" s="10">
        <f t="shared" si="68"/>
        <v>0.50969467997507401</v>
      </c>
      <c r="V137" s="10">
        <f>$Q$102*$R$110*$R$123*V$96</f>
        <v>0.56109620481488565</v>
      </c>
      <c r="W137" s="10">
        <f t="shared" ref="W137:BI137" si="69">$Q$102*$R$110*$R$123*W$96</f>
        <v>0.57904752213770216</v>
      </c>
      <c r="X137" s="10">
        <f t="shared" si="69"/>
        <v>0.59486503240467714</v>
      </c>
      <c r="Y137" s="10">
        <f t="shared" si="69"/>
        <v>0.61024648747422106</v>
      </c>
      <c r="Z137" s="10">
        <f t="shared" si="69"/>
        <v>0.626605512464387</v>
      </c>
      <c r="AA137" s="10">
        <f t="shared" si="69"/>
        <v>0.64299419471691732</v>
      </c>
      <c r="AB137" s="10">
        <f t="shared" si="69"/>
        <v>0.65990819610116769</v>
      </c>
      <c r="AC137" s="10">
        <f t="shared" si="69"/>
        <v>0.67683618385811384</v>
      </c>
      <c r="AD137" s="10">
        <f t="shared" si="69"/>
        <v>0.69375389603261628</v>
      </c>
      <c r="AE137" s="10">
        <f t="shared" si="69"/>
        <v>0.71063553421898917</v>
      </c>
      <c r="AF137" s="10">
        <f t="shared" si="69"/>
        <v>0.72804054784916195</v>
      </c>
      <c r="AG137" s="10">
        <f t="shared" si="69"/>
        <v>0.74539563784846041</v>
      </c>
      <c r="AH137" s="10">
        <f t="shared" si="69"/>
        <v>0.76326723219169701</v>
      </c>
      <c r="AI137" s="10">
        <f t="shared" si="69"/>
        <v>0.78104997766183304</v>
      </c>
      <c r="AJ137" s="10">
        <f t="shared" si="69"/>
        <v>0.79870518291865977</v>
      </c>
      <c r="AK137" s="10">
        <f t="shared" si="69"/>
        <v>0.81620464122408409</v>
      </c>
      <c r="AL137" s="10">
        <f t="shared" si="69"/>
        <v>0.83350975403368477</v>
      </c>
      <c r="AM137" s="10">
        <f t="shared" si="69"/>
        <v>0.85058131248326641</v>
      </c>
      <c r="AN137" s="10">
        <f t="shared" si="69"/>
        <v>0.86737848821717833</v>
      </c>
      <c r="AO137" s="10">
        <f t="shared" si="69"/>
        <v>0.88456276076853746</v>
      </c>
      <c r="AP137" s="10">
        <f t="shared" si="69"/>
        <v>0.90070925533753998</v>
      </c>
      <c r="AQ137" s="10">
        <f t="shared" si="69"/>
        <v>0.91719462511565619</v>
      </c>
      <c r="AR137" s="10">
        <f t="shared" si="69"/>
        <v>0.93401964149235339</v>
      </c>
      <c r="AS137" s="10">
        <f t="shared" si="69"/>
        <v>0.95044145284601045</v>
      </c>
      <c r="AT137" s="10">
        <f t="shared" si="69"/>
        <v>0.96642419213222652</v>
      </c>
      <c r="AU137" s="10">
        <f t="shared" si="69"/>
        <v>0.981932425646451</v>
      </c>
      <c r="AV137" s="10">
        <f t="shared" si="69"/>
        <v>0.99772411689545393</v>
      </c>
      <c r="AW137" s="10">
        <f t="shared" si="69"/>
        <v>1.0137966453732046</v>
      </c>
      <c r="AX137" s="10">
        <f t="shared" si="69"/>
        <v>1.030152891028641</v>
      </c>
      <c r="AY137" s="10">
        <f t="shared" si="69"/>
        <v>1.0459626375420863</v>
      </c>
      <c r="AZ137" s="10">
        <f t="shared" si="69"/>
        <v>1.061875452032961</v>
      </c>
      <c r="BA137" s="10">
        <f t="shared" si="69"/>
        <v>1.0780303570688823</v>
      </c>
      <c r="BB137" s="10">
        <f t="shared" si="69"/>
        <v>1.0944310357086853</v>
      </c>
      <c r="BC137" s="10">
        <f t="shared" si="69"/>
        <v>1.1110812270436385</v>
      </c>
      <c r="BD137" s="10">
        <f t="shared" si="69"/>
        <v>1.1279847270498973</v>
      </c>
      <c r="BE137" s="10">
        <f t="shared" si="69"/>
        <v>1.1460522419628427</v>
      </c>
      <c r="BF137" s="10">
        <f t="shared" si="69"/>
        <v>1.1644091536090078</v>
      </c>
      <c r="BG137" s="10">
        <f t="shared" si="69"/>
        <v>1.1830600974055816</v>
      </c>
      <c r="BH137" s="10">
        <f t="shared" si="69"/>
        <v>1.2029609138191428</v>
      </c>
      <c r="BI137" s="10">
        <f t="shared" si="69"/>
        <v>1.2231964913279305</v>
      </c>
    </row>
    <row r="138" spans="1:61" s="454" customFormat="1"/>
    <row r="139" spans="1:61"/>
    <row r="140" spans="1:61">
      <c r="A140" s="653" t="s">
        <v>475</v>
      </c>
      <c r="B140" s="653"/>
      <c r="C140" s="653"/>
      <c r="D140" s="653"/>
      <c r="E140" s="653"/>
      <c r="F140" s="653"/>
      <c r="G140" s="653"/>
      <c r="H140" s="653"/>
      <c r="I140" s="653"/>
      <c r="J140" s="653"/>
      <c r="K140" s="653"/>
      <c r="L140" s="653"/>
      <c r="M140" s="653"/>
      <c r="N140" s="653"/>
      <c r="O140" s="653"/>
      <c r="P140" s="653"/>
      <c r="Q140" s="653"/>
      <c r="R140" s="653"/>
      <c r="S140" s="653"/>
      <c r="T140" s="653"/>
      <c r="U140" s="653"/>
      <c r="V140" s="653"/>
    </row>
    <row r="141" spans="1:61" s="513" customFormat="1">
      <c r="A141" s="653"/>
      <c r="B141" s="653"/>
      <c r="C141" s="653"/>
      <c r="D141" s="653"/>
      <c r="E141" s="653"/>
      <c r="F141" s="653"/>
      <c r="G141" s="653"/>
      <c r="H141" s="653"/>
      <c r="I141" s="653"/>
      <c r="J141" s="653"/>
      <c r="K141" s="653"/>
      <c r="L141" s="653"/>
      <c r="M141" s="653"/>
      <c r="N141" s="653"/>
      <c r="O141" s="653"/>
      <c r="P141" s="653"/>
      <c r="Q141" s="653"/>
      <c r="R141" s="653"/>
      <c r="S141" s="653"/>
      <c r="T141" s="653"/>
      <c r="U141" s="653"/>
      <c r="V141" s="653"/>
    </row>
    <row r="142" spans="1:61">
      <c r="A142" s="654" t="s">
        <v>321</v>
      </c>
      <c r="B142" s="654"/>
      <c r="C142" s="654"/>
      <c r="D142" s="654"/>
      <c r="E142" s="654"/>
      <c r="F142" s="654"/>
      <c r="G142" s="654"/>
      <c r="H142" s="654"/>
      <c r="I142" s="654"/>
      <c r="J142" s="654"/>
      <c r="K142" s="654"/>
      <c r="L142" s="654"/>
      <c r="M142" s="654"/>
      <c r="N142" s="654"/>
      <c r="O142" s="654"/>
      <c r="P142" s="654"/>
      <c r="Q142" s="654"/>
      <c r="R142" s="654"/>
      <c r="S142" s="654"/>
      <c r="T142" s="654"/>
      <c r="U142" s="654"/>
      <c r="V142" s="654"/>
    </row>
    <row r="143" spans="1:61" s="513" customFormat="1">
      <c r="A143" s="654"/>
      <c r="B143" s="654"/>
      <c r="C143" s="654"/>
      <c r="D143" s="654"/>
      <c r="E143" s="654"/>
      <c r="F143" s="654"/>
      <c r="G143" s="654"/>
      <c r="H143" s="654"/>
      <c r="I143" s="654"/>
      <c r="J143" s="654"/>
      <c r="K143" s="654"/>
      <c r="L143" s="654"/>
      <c r="M143" s="654"/>
      <c r="N143" s="654"/>
      <c r="O143" s="654"/>
      <c r="P143" s="654"/>
      <c r="Q143" s="654"/>
      <c r="R143" s="654"/>
      <c r="S143" s="654"/>
      <c r="T143" s="654"/>
      <c r="U143" s="654"/>
      <c r="V143" s="654"/>
    </row>
    <row r="144" spans="1:61" s="454" customFormat="1">
      <c r="A144" s="651" t="s">
        <v>477</v>
      </c>
      <c r="B144" s="651"/>
      <c r="C144" s="651"/>
      <c r="D144" s="651"/>
      <c r="E144" s="651"/>
      <c r="F144" s="651"/>
      <c r="G144" s="651"/>
      <c r="H144" s="651"/>
      <c r="I144" s="651"/>
      <c r="J144" s="651"/>
      <c r="K144" s="651"/>
      <c r="L144" s="651"/>
      <c r="M144" s="651"/>
      <c r="N144" s="651"/>
      <c r="O144" s="651"/>
      <c r="P144" s="651"/>
      <c r="Q144" s="651"/>
      <c r="R144" s="651"/>
      <c r="S144" s="651"/>
      <c r="T144" s="651"/>
      <c r="U144" s="651"/>
      <c r="V144" s="651"/>
    </row>
    <row r="145" spans="1:61" s="513" customFormat="1">
      <c r="A145" s="651"/>
      <c r="B145" s="651"/>
      <c r="C145" s="651"/>
      <c r="D145" s="651"/>
      <c r="E145" s="651"/>
      <c r="F145" s="651"/>
      <c r="G145" s="651"/>
      <c r="H145" s="651"/>
      <c r="I145" s="651"/>
      <c r="J145" s="651"/>
      <c r="K145" s="651"/>
      <c r="L145" s="651"/>
      <c r="M145" s="651"/>
      <c r="N145" s="651"/>
      <c r="O145" s="651"/>
      <c r="P145" s="651"/>
      <c r="Q145" s="651"/>
      <c r="R145" s="651"/>
      <c r="S145" s="651"/>
      <c r="T145" s="651"/>
      <c r="U145" s="651"/>
      <c r="V145" s="651"/>
    </row>
    <row r="146" spans="1:61" s="454" customFormat="1">
      <c r="A146" s="652"/>
      <c r="B146" s="652"/>
      <c r="C146" s="652"/>
      <c r="D146" s="652"/>
      <c r="E146" s="652"/>
      <c r="F146" s="652"/>
      <c r="G146" s="652"/>
      <c r="H146" s="652"/>
      <c r="I146" s="652"/>
      <c r="J146" s="652"/>
      <c r="K146" s="652"/>
      <c r="L146" s="652"/>
      <c r="M146" s="652"/>
      <c r="N146" s="652"/>
      <c r="O146" s="652"/>
      <c r="P146" s="652"/>
      <c r="Q146" s="652"/>
      <c r="R146" s="652"/>
      <c r="S146" s="652"/>
      <c r="T146" s="652"/>
      <c r="U146" s="652"/>
      <c r="V146" s="652"/>
    </row>
    <row r="147" spans="1:61">
      <c r="A147" s="664"/>
      <c r="B147" s="508" t="s">
        <v>221</v>
      </c>
      <c r="C147" s="497"/>
      <c r="D147" s="497"/>
      <c r="E147" s="497"/>
      <c r="F147" s="497"/>
      <c r="G147" s="497"/>
      <c r="H147" s="497"/>
      <c r="I147" s="497"/>
      <c r="J147" s="497"/>
      <c r="K147" s="497"/>
      <c r="L147" s="497"/>
      <c r="M147" s="497"/>
      <c r="N147" s="497"/>
      <c r="O147" s="497"/>
      <c r="P147" s="500"/>
      <c r="Q147" s="6"/>
      <c r="R147" s="6"/>
      <c r="S147" s="6"/>
      <c r="T147" s="6">
        <v>2020</v>
      </c>
      <c r="U147" s="6">
        <f t="shared" ref="U147" si="70">T147+1</f>
        <v>2021</v>
      </c>
      <c r="V147" s="6">
        <f t="shared" ref="V147" si="71">U147+1</f>
        <v>2022</v>
      </c>
      <c r="W147" s="6">
        <f t="shared" ref="W147:AK147" si="72">V147+1</f>
        <v>2023</v>
      </c>
      <c r="X147" s="6">
        <f t="shared" si="72"/>
        <v>2024</v>
      </c>
      <c r="Y147" s="6">
        <f t="shared" si="72"/>
        <v>2025</v>
      </c>
      <c r="Z147" s="6">
        <f t="shared" si="72"/>
        <v>2026</v>
      </c>
      <c r="AA147" s="6">
        <f t="shared" si="72"/>
        <v>2027</v>
      </c>
      <c r="AB147" s="6">
        <f t="shared" si="72"/>
        <v>2028</v>
      </c>
      <c r="AC147" s="6">
        <f t="shared" si="72"/>
        <v>2029</v>
      </c>
      <c r="AD147" s="6">
        <f t="shared" si="72"/>
        <v>2030</v>
      </c>
      <c r="AE147" s="6">
        <f t="shared" si="72"/>
        <v>2031</v>
      </c>
      <c r="AF147" s="6">
        <f t="shared" si="72"/>
        <v>2032</v>
      </c>
      <c r="AG147" s="6">
        <f t="shared" si="72"/>
        <v>2033</v>
      </c>
      <c r="AH147" s="6">
        <f t="shared" si="72"/>
        <v>2034</v>
      </c>
      <c r="AI147" s="6">
        <f t="shared" si="72"/>
        <v>2035</v>
      </c>
      <c r="AJ147" s="6">
        <f t="shared" si="72"/>
        <v>2036</v>
      </c>
      <c r="AK147" s="6">
        <f t="shared" si="72"/>
        <v>2037</v>
      </c>
      <c r="AL147" s="6">
        <f t="shared" ref="AL147:BA147" si="73">AK147+1</f>
        <v>2038</v>
      </c>
      <c r="AM147" s="6">
        <f t="shared" si="73"/>
        <v>2039</v>
      </c>
      <c r="AN147" s="6">
        <f t="shared" si="73"/>
        <v>2040</v>
      </c>
      <c r="AO147" s="6">
        <f t="shared" si="73"/>
        <v>2041</v>
      </c>
      <c r="AP147" s="6">
        <f t="shared" si="73"/>
        <v>2042</v>
      </c>
      <c r="AQ147" s="6">
        <f t="shared" si="73"/>
        <v>2043</v>
      </c>
      <c r="AR147" s="6">
        <f t="shared" si="73"/>
        <v>2044</v>
      </c>
      <c r="AS147" s="6">
        <f t="shared" si="73"/>
        <v>2045</v>
      </c>
      <c r="AT147" s="6">
        <f t="shared" si="73"/>
        <v>2046</v>
      </c>
      <c r="AU147" s="6">
        <f t="shared" si="73"/>
        <v>2047</v>
      </c>
      <c r="AV147" s="6">
        <f t="shared" si="73"/>
        <v>2048</v>
      </c>
      <c r="AW147" s="6">
        <f t="shared" si="73"/>
        <v>2049</v>
      </c>
      <c r="AX147" s="6">
        <f t="shared" si="73"/>
        <v>2050</v>
      </c>
      <c r="AY147" s="6">
        <f t="shared" si="73"/>
        <v>2051</v>
      </c>
      <c r="AZ147" s="6">
        <f t="shared" si="73"/>
        <v>2052</v>
      </c>
      <c r="BA147" s="6">
        <f t="shared" si="73"/>
        <v>2053</v>
      </c>
      <c r="BB147" s="6">
        <f t="shared" ref="BB147:BI147" si="74">BA147+1</f>
        <v>2054</v>
      </c>
      <c r="BC147" s="6">
        <f t="shared" si="74"/>
        <v>2055</v>
      </c>
      <c r="BD147" s="6">
        <f t="shared" si="74"/>
        <v>2056</v>
      </c>
      <c r="BE147" s="6">
        <f t="shared" si="74"/>
        <v>2057</v>
      </c>
      <c r="BF147" s="6">
        <f t="shared" si="74"/>
        <v>2058</v>
      </c>
      <c r="BG147" s="6">
        <f t="shared" si="74"/>
        <v>2059</v>
      </c>
      <c r="BH147" s="6">
        <f t="shared" si="74"/>
        <v>2060</v>
      </c>
      <c r="BI147" s="6">
        <f t="shared" si="74"/>
        <v>2061</v>
      </c>
    </row>
    <row r="148" spans="1:61">
      <c r="A148" s="665"/>
      <c r="B148" s="509" t="s">
        <v>315</v>
      </c>
      <c r="C148" s="505"/>
      <c r="D148" s="505"/>
      <c r="E148" s="505"/>
      <c r="F148" s="505"/>
      <c r="G148" s="505"/>
      <c r="H148" s="505"/>
      <c r="I148" s="505"/>
      <c r="J148" s="505"/>
      <c r="K148" s="505"/>
      <c r="L148" s="505"/>
      <c r="M148" s="505"/>
      <c r="N148" s="505"/>
      <c r="O148" s="505"/>
      <c r="P148" s="510"/>
      <c r="Q148" s="506">
        <f>DATE(2016,12,31)</f>
        <v>42735</v>
      </c>
      <c r="R148" s="506">
        <f>DATE(YEAR(Q148+1),12,31)</f>
        <v>43100</v>
      </c>
      <c r="S148" s="506">
        <f t="shared" ref="S148" si="75">DATE(YEAR(R148+1),12,31)</f>
        <v>43465</v>
      </c>
      <c r="T148" s="506">
        <f>DATE(YEAR(S148+1),12,31)</f>
        <v>43830</v>
      </c>
      <c r="U148" s="506">
        <f t="shared" ref="U148:BI148" si="76">DATE(YEAR(T148+1),12,31)</f>
        <v>44196</v>
      </c>
      <c r="V148" s="506">
        <f t="shared" si="76"/>
        <v>44561</v>
      </c>
      <c r="W148" s="506">
        <f t="shared" si="76"/>
        <v>44926</v>
      </c>
      <c r="X148" s="506">
        <f t="shared" si="76"/>
        <v>45291</v>
      </c>
      <c r="Y148" s="506">
        <f t="shared" si="76"/>
        <v>45657</v>
      </c>
      <c r="Z148" s="506">
        <f t="shared" si="76"/>
        <v>46022</v>
      </c>
      <c r="AA148" s="506">
        <f t="shared" si="76"/>
        <v>46387</v>
      </c>
      <c r="AB148" s="506">
        <f t="shared" si="76"/>
        <v>46752</v>
      </c>
      <c r="AC148" s="506">
        <f t="shared" si="76"/>
        <v>47118</v>
      </c>
      <c r="AD148" s="506">
        <f t="shared" si="76"/>
        <v>47483</v>
      </c>
      <c r="AE148" s="506">
        <f t="shared" si="76"/>
        <v>47848</v>
      </c>
      <c r="AF148" s="506">
        <f t="shared" si="76"/>
        <v>48213</v>
      </c>
      <c r="AG148" s="506">
        <f t="shared" si="76"/>
        <v>48579</v>
      </c>
      <c r="AH148" s="506">
        <f t="shared" si="76"/>
        <v>48944</v>
      </c>
      <c r="AI148" s="506">
        <f t="shared" si="76"/>
        <v>49309</v>
      </c>
      <c r="AJ148" s="506">
        <f t="shared" si="76"/>
        <v>49674</v>
      </c>
      <c r="AK148" s="506">
        <f t="shared" si="76"/>
        <v>50040</v>
      </c>
      <c r="AL148" s="506">
        <f t="shared" si="76"/>
        <v>50405</v>
      </c>
      <c r="AM148" s="506">
        <f t="shared" si="76"/>
        <v>50770</v>
      </c>
      <c r="AN148" s="506">
        <f t="shared" si="76"/>
        <v>51135</v>
      </c>
      <c r="AO148" s="506">
        <f t="shared" si="76"/>
        <v>51501</v>
      </c>
      <c r="AP148" s="506">
        <f t="shared" si="76"/>
        <v>51866</v>
      </c>
      <c r="AQ148" s="506">
        <f t="shared" si="76"/>
        <v>52231</v>
      </c>
      <c r="AR148" s="506">
        <f t="shared" si="76"/>
        <v>52596</v>
      </c>
      <c r="AS148" s="506">
        <f t="shared" si="76"/>
        <v>52962</v>
      </c>
      <c r="AT148" s="506">
        <f t="shared" si="76"/>
        <v>53327</v>
      </c>
      <c r="AU148" s="506">
        <f t="shared" si="76"/>
        <v>53692</v>
      </c>
      <c r="AV148" s="506">
        <f t="shared" si="76"/>
        <v>54057</v>
      </c>
      <c r="AW148" s="506">
        <f t="shared" si="76"/>
        <v>54423</v>
      </c>
      <c r="AX148" s="506">
        <f t="shared" si="76"/>
        <v>54788</v>
      </c>
      <c r="AY148" s="506">
        <f t="shared" si="76"/>
        <v>55153</v>
      </c>
      <c r="AZ148" s="506">
        <f t="shared" si="76"/>
        <v>55518</v>
      </c>
      <c r="BA148" s="506">
        <f t="shared" si="76"/>
        <v>55884</v>
      </c>
      <c r="BB148" s="506">
        <f t="shared" si="76"/>
        <v>56249</v>
      </c>
      <c r="BC148" s="506">
        <f t="shared" si="76"/>
        <v>56614</v>
      </c>
      <c r="BD148" s="506">
        <f t="shared" si="76"/>
        <v>56979</v>
      </c>
      <c r="BE148" s="506">
        <f t="shared" si="76"/>
        <v>57345</v>
      </c>
      <c r="BF148" s="506">
        <f t="shared" si="76"/>
        <v>57710</v>
      </c>
      <c r="BG148" s="506">
        <f t="shared" si="76"/>
        <v>58075</v>
      </c>
      <c r="BH148" s="506">
        <f t="shared" si="76"/>
        <v>58440</v>
      </c>
      <c r="BI148" s="506">
        <f t="shared" si="76"/>
        <v>58806</v>
      </c>
    </row>
    <row r="149" spans="1:61" ht="60">
      <c r="A149" s="8" t="s">
        <v>478</v>
      </c>
      <c r="B149" s="129" t="s">
        <v>42</v>
      </c>
      <c r="C149" s="13"/>
      <c r="D149" s="13"/>
      <c r="E149" s="13"/>
      <c r="F149" s="13"/>
      <c r="G149" s="13"/>
      <c r="H149" s="13"/>
      <c r="I149" s="13"/>
      <c r="J149" s="13"/>
      <c r="K149" s="13"/>
      <c r="L149" s="13"/>
      <c r="M149" s="13"/>
      <c r="N149" s="13"/>
      <c r="O149" s="13"/>
      <c r="P149" s="13"/>
      <c r="Q149" s="93"/>
      <c r="R149" s="93"/>
      <c r="S149" s="93"/>
      <c r="T149" s="10">
        <f t="shared" ref="T149:U149" si="77">T$135*U$8+T$136*U$11</f>
        <v>3.8132969764718895E-2</v>
      </c>
      <c r="U149" s="10">
        <f t="shared" si="77"/>
        <v>3.847700840741778E-2</v>
      </c>
      <c r="V149" s="10">
        <f t="shared" ref="V149:BI149" si="78">V$135*W$8+V$136*W$11</f>
        <v>4.2075078416393984E-2</v>
      </c>
      <c r="W149" s="10">
        <f t="shared" si="78"/>
        <v>4.3129921935380483E-2</v>
      </c>
      <c r="X149" s="10">
        <f t="shared" si="78"/>
        <v>4.4008843774688035E-2</v>
      </c>
      <c r="Y149" s="10">
        <f t="shared" si="78"/>
        <v>4.483981177243087E-2</v>
      </c>
      <c r="Z149" s="10">
        <f t="shared" si="78"/>
        <v>4.5726643504795383E-2</v>
      </c>
      <c r="AA149" s="10">
        <f t="shared" si="78"/>
        <v>4.6599166476908239E-2</v>
      </c>
      <c r="AB149" s="10">
        <f t="shared" si="78"/>
        <v>4.7493008279140152E-2</v>
      </c>
      <c r="AC149" s="10">
        <f t="shared" si="78"/>
        <v>4.8370833210112721E-2</v>
      </c>
      <c r="AD149" s="10">
        <f t="shared" si="78"/>
        <v>4.9230898460679934E-2</v>
      </c>
      <c r="AE149" s="10">
        <f t="shared" si="78"/>
        <v>4.9791154967560133E-2</v>
      </c>
      <c r="AF149" s="10">
        <f t="shared" si="78"/>
        <v>5.0357313677716252E-2</v>
      </c>
      <c r="AG149" s="10">
        <f t="shared" si="78"/>
        <v>5.0888825937929281E-2</v>
      </c>
      <c r="AH149" s="10">
        <f t="shared" si="78"/>
        <v>5.1423988388653606E-2</v>
      </c>
      <c r="AI149" s="10">
        <f t="shared" si="78"/>
        <v>5.1921168983943763E-2</v>
      </c>
      <c r="AJ149" s="10">
        <f t="shared" si="78"/>
        <v>5.2378069590819289E-2</v>
      </c>
      <c r="AK149" s="10">
        <f t="shared" si="78"/>
        <v>5.2793209119062899E-2</v>
      </c>
      <c r="AL149" s="10">
        <f t="shared" si="78"/>
        <v>5.3164544897609328E-2</v>
      </c>
      <c r="AM149" s="10">
        <f t="shared" si="78"/>
        <v>5.3490134426044701E-2</v>
      </c>
      <c r="AN149" s="10">
        <f t="shared" si="78"/>
        <v>5.3768075555357821E-2</v>
      </c>
      <c r="AO149" s="10">
        <f t="shared" si="78"/>
        <v>5.4039517934621806E-2</v>
      </c>
      <c r="AP149" s="10">
        <f t="shared" si="78"/>
        <v>5.4217649956589453E-2</v>
      </c>
      <c r="AQ149" s="10">
        <f t="shared" si="78"/>
        <v>5.4386896906557389E-2</v>
      </c>
      <c r="AR149" s="10">
        <f t="shared" si="78"/>
        <v>5.454639152520304E-2</v>
      </c>
      <c r="AS149" s="10">
        <f t="shared" si="78"/>
        <v>5.465250380223307E-2</v>
      </c>
      <c r="AT149" s="10">
        <f t="shared" si="78"/>
        <v>5.4704288983940315E-2</v>
      </c>
      <c r="AU149" s="10">
        <f t="shared" si="78"/>
        <v>5.4700955203573778E-2</v>
      </c>
      <c r="AV149" s="10">
        <f t="shared" si="78"/>
        <v>5.4685323938495789E-2</v>
      </c>
      <c r="AW149" s="10">
        <f t="shared" si="78"/>
        <v>5.465649079505501E-2</v>
      </c>
      <c r="AX149" s="10">
        <f t="shared" si="78"/>
        <v>5.4613852394253627E-2</v>
      </c>
      <c r="AY149" s="10">
        <f t="shared" si="78"/>
        <v>5.5452010661822725E-2</v>
      </c>
      <c r="AZ149" s="10">
        <f t="shared" si="78"/>
        <v>5.6295633107918061E-2</v>
      </c>
      <c r="BA149" s="10">
        <f t="shared" si="78"/>
        <v>5.7152090054026342E-2</v>
      </c>
      <c r="BB149" s="10">
        <f t="shared" si="78"/>
        <v>5.8021576758573078E-2</v>
      </c>
      <c r="BC149" s="10">
        <f t="shared" si="78"/>
        <v>5.8904291450559448E-2</v>
      </c>
      <c r="BD149" s="10">
        <f t="shared" si="78"/>
        <v>5.9800435374755267E-2</v>
      </c>
      <c r="BE149" s="10">
        <f t="shared" si="78"/>
        <v>6.0758289884682716E-2</v>
      </c>
      <c r="BF149" s="10">
        <f t="shared" si="78"/>
        <v>6.1731486845822095E-2</v>
      </c>
      <c r="BG149" s="10">
        <f t="shared" si="78"/>
        <v>6.2720272006151545E-2</v>
      </c>
      <c r="BH149" s="10">
        <f t="shared" si="78"/>
        <v>6.3775319523467253E-2</v>
      </c>
      <c r="BI149" s="10">
        <f t="shared" si="78"/>
        <v>6.4848114496720108E-2</v>
      </c>
    </row>
    <row r="150" spans="1:61" ht="60">
      <c r="A150" s="8" t="s">
        <v>479</v>
      </c>
      <c r="B150" s="129" t="s">
        <v>42</v>
      </c>
      <c r="C150" s="13"/>
      <c r="D150" s="13"/>
      <c r="E150" s="13"/>
      <c r="F150" s="13"/>
      <c r="G150" s="13"/>
      <c r="H150" s="13"/>
      <c r="I150" s="13"/>
      <c r="J150" s="13"/>
      <c r="K150" s="13"/>
      <c r="L150" s="13"/>
      <c r="M150" s="13"/>
      <c r="N150" s="13"/>
      <c r="O150" s="13"/>
      <c r="P150" s="13"/>
      <c r="Q150" s="93"/>
      <c r="R150" s="93"/>
      <c r="S150" s="93"/>
      <c r="T150" s="10">
        <f t="shared" ref="T150:U150" si="79">T$137*U$15+(0)*U$16</f>
        <v>0.50179360310418952</v>
      </c>
      <c r="U150" s="10">
        <f t="shared" si="79"/>
        <v>0.50969467997507401</v>
      </c>
      <c r="V150" s="10">
        <f t="shared" ref="V150:BI150" si="80">V$137*W$15+(0)*W$16</f>
        <v>0.56109620481488565</v>
      </c>
      <c r="W150" s="10">
        <f t="shared" si="80"/>
        <v>0.57904752213770216</v>
      </c>
      <c r="X150" s="10">
        <f t="shared" si="80"/>
        <v>0.59486503240467714</v>
      </c>
      <c r="Y150" s="10">
        <f t="shared" si="80"/>
        <v>0.61024648747422106</v>
      </c>
      <c r="Z150" s="10">
        <f t="shared" si="80"/>
        <v>0.626605512464387</v>
      </c>
      <c r="AA150" s="10">
        <f t="shared" si="80"/>
        <v>0.64299419471691732</v>
      </c>
      <c r="AB150" s="10">
        <f t="shared" si="80"/>
        <v>0.65990819610116769</v>
      </c>
      <c r="AC150" s="10">
        <f t="shared" si="80"/>
        <v>0.67683618385811384</v>
      </c>
      <c r="AD150" s="10">
        <f t="shared" si="80"/>
        <v>0.69375389603261628</v>
      </c>
      <c r="AE150" s="10">
        <f t="shared" si="80"/>
        <v>0.71063553421898917</v>
      </c>
      <c r="AF150" s="10">
        <f t="shared" si="80"/>
        <v>0.72804054784916195</v>
      </c>
      <c r="AG150" s="10">
        <f t="shared" si="80"/>
        <v>0.74539563784846041</v>
      </c>
      <c r="AH150" s="10">
        <f t="shared" si="80"/>
        <v>0.76326723219169701</v>
      </c>
      <c r="AI150" s="10">
        <f t="shared" si="80"/>
        <v>0.78104997766183304</v>
      </c>
      <c r="AJ150" s="10">
        <f t="shared" si="80"/>
        <v>0.79870518291865977</v>
      </c>
      <c r="AK150" s="10">
        <f t="shared" si="80"/>
        <v>0.81620464122408409</v>
      </c>
      <c r="AL150" s="10">
        <f t="shared" si="80"/>
        <v>0.83350975403368477</v>
      </c>
      <c r="AM150" s="10">
        <f t="shared" si="80"/>
        <v>0.85058131248326641</v>
      </c>
      <c r="AN150" s="10">
        <f t="shared" si="80"/>
        <v>0.86737848821717833</v>
      </c>
      <c r="AO150" s="10">
        <f t="shared" si="80"/>
        <v>0.88456276076853746</v>
      </c>
      <c r="AP150" s="10">
        <f t="shared" si="80"/>
        <v>0.90070925533753998</v>
      </c>
      <c r="AQ150" s="10">
        <f t="shared" si="80"/>
        <v>0.91719462511565619</v>
      </c>
      <c r="AR150" s="10">
        <f t="shared" si="80"/>
        <v>0.93401964149235339</v>
      </c>
      <c r="AS150" s="10">
        <f t="shared" si="80"/>
        <v>0.95044145284601045</v>
      </c>
      <c r="AT150" s="10">
        <f t="shared" si="80"/>
        <v>0.96642419213222652</v>
      </c>
      <c r="AU150" s="10">
        <f t="shared" si="80"/>
        <v>0.981932425646451</v>
      </c>
      <c r="AV150" s="10">
        <f t="shared" si="80"/>
        <v>0.99772411689545393</v>
      </c>
      <c r="AW150" s="10">
        <f t="shared" si="80"/>
        <v>1.0137966453732046</v>
      </c>
      <c r="AX150" s="10">
        <f t="shared" si="80"/>
        <v>1.030152891028641</v>
      </c>
      <c r="AY150" s="10">
        <f t="shared" si="80"/>
        <v>1.0459626375420863</v>
      </c>
      <c r="AZ150" s="10">
        <f t="shared" si="80"/>
        <v>1.061875452032961</v>
      </c>
      <c r="BA150" s="10">
        <f t="shared" si="80"/>
        <v>1.0780303570688823</v>
      </c>
      <c r="BB150" s="10">
        <f t="shared" si="80"/>
        <v>1.0944310357086853</v>
      </c>
      <c r="BC150" s="10">
        <f t="shared" si="80"/>
        <v>1.1110812270436385</v>
      </c>
      <c r="BD150" s="10">
        <f t="shared" si="80"/>
        <v>1.1279847270498973</v>
      </c>
      <c r="BE150" s="10">
        <f t="shared" si="80"/>
        <v>1.1460522419628427</v>
      </c>
      <c r="BF150" s="10">
        <f t="shared" si="80"/>
        <v>1.1644091536090078</v>
      </c>
      <c r="BG150" s="10">
        <f t="shared" si="80"/>
        <v>1.1830600974055816</v>
      </c>
      <c r="BH150" s="10">
        <f t="shared" si="80"/>
        <v>1.2029609138191428</v>
      </c>
      <c r="BI150" s="10">
        <f t="shared" si="80"/>
        <v>1.2231964913279305</v>
      </c>
    </row>
    <row r="151" spans="1:61"/>
  </sheetData>
  <mergeCells count="22">
    <mergeCell ref="A18:V19"/>
    <mergeCell ref="A20:V21"/>
    <mergeCell ref="A26:V27"/>
    <mergeCell ref="A28:V29"/>
    <mergeCell ref="A131:V132"/>
    <mergeCell ref="A129:V130"/>
    <mergeCell ref="A116:V117"/>
    <mergeCell ref="A118:V119"/>
    <mergeCell ref="A147:A148"/>
    <mergeCell ref="A133:A134"/>
    <mergeCell ref="T34:V34"/>
    <mergeCell ref="P34:R34"/>
    <mergeCell ref="A74:A75"/>
    <mergeCell ref="B74:B75"/>
    <mergeCell ref="P74:P75"/>
    <mergeCell ref="A59:A60"/>
    <mergeCell ref="B59:B60"/>
    <mergeCell ref="P126:W127"/>
    <mergeCell ref="A140:V141"/>
    <mergeCell ref="A142:V143"/>
    <mergeCell ref="A144:V146"/>
    <mergeCell ref="A91:V92"/>
  </mergeCells>
  <hyperlinks>
    <hyperlink ref="A93" location="Indeksacja!A29" display="Nota metodologiczna"/>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13"/>
  <sheetViews>
    <sheetView workbookViewId="0">
      <pane xSplit="2" ySplit="2" topLeftCell="K3" activePane="bottomRight" state="frozen"/>
      <selection pane="topRight" activeCell="C1" sqref="C1"/>
      <selection pane="bottomLeft" activeCell="A3" sqref="A3"/>
      <selection pane="bottomRight" activeCell="K3" sqref="K3"/>
    </sheetView>
  </sheetViews>
  <sheetFormatPr defaultColWidth="0" defaultRowHeight="15" customHeight="1" zeroHeight="1" outlineLevelRow="1" outlineLevelCol="1"/>
  <cols>
    <col min="1" max="1" width="20.7109375" style="217" customWidth="1"/>
    <col min="2" max="2" width="9.140625" style="217" customWidth="1"/>
    <col min="3" max="10" width="1.7109375" style="217" hidden="1" customWidth="1" outlineLevel="1"/>
    <col min="11" max="11" width="11.7109375" style="217" customWidth="1" collapsed="1"/>
    <col min="12" max="61" width="11.7109375" style="217" customWidth="1"/>
    <col min="62" max="62" width="9.140625" style="217" customWidth="1"/>
    <col min="63" max="16384" width="9.140625" style="217" hidden="1"/>
  </cols>
  <sheetData>
    <row r="1" spans="1:61" ht="21">
      <c r="A1" s="4" t="s">
        <v>223</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217" t="str">
        <f>Indeksacja!$A$2</f>
        <v>Dla roku bazowego 2022 właściwe do zastosowania w analizie są wartości kosztów jednostkowych określone według poziomu cenowego z końca roku poprzedniego, tzn. 2021.</v>
      </c>
    </row>
    <row r="3" spans="1:61" ht="15" customHeight="1"/>
    <row r="4" spans="1:61">
      <c r="A4" s="645" t="s">
        <v>480</v>
      </c>
      <c r="B4" s="645"/>
      <c r="C4" s="645"/>
      <c r="D4" s="645"/>
      <c r="E4" s="645"/>
      <c r="F4" s="645"/>
      <c r="G4" s="645"/>
      <c r="H4" s="645"/>
      <c r="I4" s="645"/>
      <c r="J4" s="645"/>
      <c r="K4" s="645"/>
      <c r="L4" s="645"/>
      <c r="M4" s="645"/>
      <c r="N4" s="645"/>
      <c r="O4" s="645"/>
      <c r="P4" s="645"/>
      <c r="Q4" s="645"/>
    </row>
    <row r="5" spans="1:61" s="513" customFormat="1">
      <c r="A5" s="645"/>
      <c r="B5" s="645"/>
      <c r="C5" s="645"/>
      <c r="D5" s="645"/>
      <c r="E5" s="645"/>
      <c r="F5" s="645"/>
      <c r="G5" s="645"/>
      <c r="H5" s="645"/>
      <c r="I5" s="645"/>
      <c r="J5" s="645"/>
      <c r="K5" s="645"/>
      <c r="L5" s="645"/>
      <c r="M5" s="645"/>
      <c r="N5" s="645"/>
      <c r="O5" s="645"/>
      <c r="P5" s="645"/>
      <c r="Q5" s="645"/>
    </row>
    <row r="6" spans="1:61" ht="15" hidden="1" customHeight="1" outlineLevel="1"/>
    <row r="7" spans="1:61" ht="15" hidden="1" customHeight="1" outlineLevel="1">
      <c r="A7" s="189" t="s">
        <v>490</v>
      </c>
    </row>
    <row r="8" spans="1:61" ht="15" hidden="1" customHeight="1" outlineLevel="1">
      <c r="A8" s="217" t="s">
        <v>229</v>
      </c>
    </row>
    <row r="9" spans="1:61" ht="15" hidden="1" customHeight="1" outlineLevel="1">
      <c r="A9" s="645" t="s">
        <v>481</v>
      </c>
      <c r="B9" s="645"/>
      <c r="C9" s="645"/>
      <c r="D9" s="645"/>
      <c r="E9" s="645"/>
      <c r="F9" s="645"/>
      <c r="G9" s="645"/>
      <c r="H9" s="645"/>
      <c r="I9" s="645"/>
      <c r="J9" s="645"/>
      <c r="K9" s="645"/>
      <c r="L9" s="645"/>
      <c r="M9" s="645"/>
      <c r="N9" s="645"/>
      <c r="O9" s="645"/>
      <c r="P9" s="645"/>
      <c r="Q9" s="645"/>
    </row>
    <row r="10" spans="1:61" s="516" customFormat="1" ht="15" hidden="1" customHeight="1" outlineLevel="1">
      <c r="A10" s="650"/>
      <c r="B10" s="650"/>
      <c r="C10" s="650"/>
      <c r="D10" s="650"/>
      <c r="E10" s="650"/>
      <c r="F10" s="650"/>
      <c r="G10" s="650"/>
      <c r="H10" s="650"/>
      <c r="I10" s="650"/>
      <c r="J10" s="650"/>
      <c r="K10" s="650"/>
      <c r="L10" s="650"/>
      <c r="M10" s="650"/>
      <c r="N10" s="650"/>
      <c r="O10" s="650"/>
      <c r="P10" s="650"/>
      <c r="Q10" s="650"/>
    </row>
    <row r="11" spans="1:61" ht="18" hidden="1" customHeight="1" outlineLevel="1">
      <c r="A11" s="702" t="s">
        <v>130</v>
      </c>
      <c r="B11" s="261"/>
      <c r="C11" s="261"/>
      <c r="D11" s="261"/>
      <c r="E11" s="261"/>
      <c r="F11" s="261"/>
      <c r="G11" s="261"/>
      <c r="H11" s="261"/>
      <c r="I11" s="261"/>
      <c r="J11" s="261"/>
      <c r="K11" s="261"/>
      <c r="L11" s="261"/>
      <c r="M11" s="261"/>
      <c r="N11" s="261"/>
      <c r="O11" s="261"/>
      <c r="P11" s="261" t="s">
        <v>131</v>
      </c>
      <c r="Q11" s="261" t="s">
        <v>127</v>
      </c>
      <c r="R11" s="261" t="s">
        <v>128</v>
      </c>
      <c r="S11" s="703" t="s">
        <v>126</v>
      </c>
      <c r="T11" s="704"/>
      <c r="U11" s="703" t="s">
        <v>129</v>
      </c>
      <c r="V11" s="705"/>
      <c r="W11" s="704"/>
      <c r="X11" s="261" t="s">
        <v>132</v>
      </c>
    </row>
    <row r="12" spans="1:61" ht="15" hidden="1" customHeight="1" outlineLevel="1">
      <c r="A12" s="702"/>
      <c r="B12" s="282"/>
      <c r="C12" s="282"/>
      <c r="D12" s="282"/>
      <c r="E12" s="282"/>
      <c r="F12" s="282"/>
      <c r="G12" s="282"/>
      <c r="H12" s="282"/>
      <c r="I12" s="282"/>
      <c r="J12" s="282"/>
      <c r="K12" s="282"/>
      <c r="L12" s="282"/>
      <c r="M12" s="282"/>
      <c r="N12" s="282"/>
      <c r="O12" s="282"/>
      <c r="P12" s="282"/>
      <c r="Q12" s="282"/>
      <c r="R12" s="282"/>
      <c r="S12" s="706" t="s">
        <v>133</v>
      </c>
      <c r="T12" s="707"/>
      <c r="U12" s="706" t="s">
        <v>133</v>
      </c>
      <c r="V12" s="708"/>
      <c r="W12" s="707"/>
      <c r="X12" s="282" t="s">
        <v>133</v>
      </c>
    </row>
    <row r="13" spans="1:61" ht="15" hidden="1" customHeight="1" outlineLevel="1">
      <c r="A13" s="702"/>
      <c r="B13" s="262"/>
      <c r="C13" s="262"/>
      <c r="D13" s="262"/>
      <c r="E13" s="262"/>
      <c r="F13" s="262"/>
      <c r="G13" s="262"/>
      <c r="H13" s="262"/>
      <c r="I13" s="262"/>
      <c r="J13" s="262"/>
      <c r="K13" s="262"/>
      <c r="L13" s="262"/>
      <c r="M13" s="262"/>
      <c r="N13" s="262"/>
      <c r="O13" s="262"/>
      <c r="P13" s="262"/>
      <c r="Q13" s="262"/>
      <c r="R13" s="262"/>
      <c r="S13" s="283" t="s">
        <v>134</v>
      </c>
      <c r="T13" s="284" t="s">
        <v>135</v>
      </c>
      <c r="U13" s="285" t="s">
        <v>136</v>
      </c>
      <c r="V13" s="286" t="s">
        <v>134</v>
      </c>
      <c r="W13" s="284" t="s">
        <v>135</v>
      </c>
      <c r="X13" s="287" t="s">
        <v>137</v>
      </c>
    </row>
    <row r="14" spans="1:61" ht="15" hidden="1" customHeight="1" outlineLevel="1">
      <c r="A14" s="288" t="s">
        <v>138</v>
      </c>
      <c r="B14" s="289"/>
      <c r="C14" s="289"/>
      <c r="D14" s="289"/>
      <c r="E14" s="289"/>
      <c r="F14" s="289"/>
      <c r="G14" s="289"/>
      <c r="H14" s="289"/>
      <c r="I14" s="289"/>
      <c r="J14" s="289"/>
      <c r="K14" s="521"/>
      <c r="L14" s="521"/>
      <c r="M14" s="521"/>
      <c r="N14" s="521"/>
      <c r="O14" s="521"/>
      <c r="P14" s="289">
        <v>17.5</v>
      </c>
      <c r="Q14" s="289">
        <v>1.2</v>
      </c>
      <c r="R14" s="289">
        <v>10.9</v>
      </c>
      <c r="S14" s="290">
        <v>21.3</v>
      </c>
      <c r="T14" s="291">
        <v>12.6</v>
      </c>
      <c r="U14" s="292">
        <v>381</v>
      </c>
      <c r="V14" s="293">
        <v>123</v>
      </c>
      <c r="W14" s="294">
        <v>70</v>
      </c>
      <c r="X14" s="289">
        <v>22.3</v>
      </c>
    </row>
    <row r="15" spans="1:61" ht="15" hidden="1" customHeight="1" outlineLevel="1">
      <c r="A15" s="295" t="s">
        <v>139</v>
      </c>
      <c r="B15" s="296"/>
      <c r="C15" s="296"/>
      <c r="D15" s="296"/>
      <c r="E15" s="296"/>
      <c r="F15" s="296"/>
      <c r="G15" s="296"/>
      <c r="H15" s="296"/>
      <c r="I15" s="296"/>
      <c r="J15" s="296"/>
      <c r="K15" s="522"/>
      <c r="L15" s="522"/>
      <c r="M15" s="522"/>
      <c r="N15" s="522"/>
      <c r="O15" s="522"/>
      <c r="P15" s="296">
        <v>14.4</v>
      </c>
      <c r="Q15" s="296">
        <v>0.7</v>
      </c>
      <c r="R15" s="296">
        <v>8.1999999999999993</v>
      </c>
      <c r="S15" s="297">
        <v>14.7</v>
      </c>
      <c r="T15" s="298">
        <v>8.9</v>
      </c>
      <c r="U15" s="299">
        <v>282</v>
      </c>
      <c r="V15" s="300">
        <v>91</v>
      </c>
      <c r="W15" s="301">
        <v>52</v>
      </c>
      <c r="X15" s="296">
        <v>5.2</v>
      </c>
    </row>
    <row r="16" spans="1:61" s="421" customFormat="1" ht="15" hidden="1" customHeight="1" outlineLevel="1">
      <c r="A16" s="35" t="s">
        <v>497</v>
      </c>
      <c r="B16" s="422"/>
      <c r="C16" s="422"/>
      <c r="D16" s="422"/>
      <c r="E16" s="422"/>
      <c r="F16" s="422"/>
      <c r="G16" s="422"/>
      <c r="H16" s="422"/>
      <c r="I16" s="422"/>
      <c r="J16" s="422"/>
      <c r="K16" s="422"/>
      <c r="L16" s="422"/>
      <c r="M16" s="422"/>
      <c r="N16" s="422"/>
      <c r="O16" s="422"/>
      <c r="P16" s="422"/>
      <c r="Q16" s="422"/>
      <c r="R16" s="422"/>
      <c r="S16" s="422"/>
      <c r="T16" s="422"/>
      <c r="U16" s="423"/>
      <c r="V16" s="423"/>
      <c r="W16" s="423"/>
      <c r="X16" s="422"/>
    </row>
    <row r="17" spans="1:21" ht="15" hidden="1" customHeight="1" outlineLevel="1">
      <c r="A17" s="302" t="s">
        <v>483</v>
      </c>
    </row>
    <row r="18" spans="1:21" ht="18" hidden="1" customHeight="1" outlineLevel="1">
      <c r="A18" s="302" t="s">
        <v>482</v>
      </c>
    </row>
    <row r="19" spans="1:21" ht="15" hidden="1" customHeight="1" outlineLevel="1">
      <c r="A19" s="645" t="s">
        <v>484</v>
      </c>
      <c r="B19" s="645"/>
      <c r="C19" s="645"/>
      <c r="D19" s="645"/>
      <c r="E19" s="645"/>
      <c r="F19" s="645"/>
      <c r="G19" s="645"/>
      <c r="H19" s="645"/>
      <c r="I19" s="645"/>
      <c r="J19" s="645"/>
      <c r="K19" s="645"/>
      <c r="L19" s="645"/>
      <c r="M19" s="645"/>
      <c r="N19" s="645"/>
      <c r="O19" s="645"/>
      <c r="P19" s="645"/>
      <c r="Q19" s="645"/>
    </row>
    <row r="20" spans="1:21" s="516" customFormat="1" ht="15" hidden="1" customHeight="1" outlineLevel="1">
      <c r="A20" s="645"/>
      <c r="B20" s="645"/>
      <c r="C20" s="645"/>
      <c r="D20" s="645"/>
      <c r="E20" s="645"/>
      <c r="F20" s="645"/>
      <c r="G20" s="645"/>
      <c r="H20" s="645"/>
      <c r="I20" s="645"/>
      <c r="J20" s="645"/>
      <c r="K20" s="645"/>
      <c r="L20" s="645"/>
      <c r="M20" s="645"/>
      <c r="N20" s="645"/>
      <c r="O20" s="645"/>
      <c r="P20" s="645"/>
      <c r="Q20" s="645"/>
    </row>
    <row r="21" spans="1:21" ht="15" hidden="1" customHeight="1" outlineLevel="1">
      <c r="A21" s="217" t="s">
        <v>140</v>
      </c>
    </row>
    <row r="22" spans="1:21" ht="15" hidden="1" customHeight="1" outlineLevel="1">
      <c r="A22" s="645" t="s">
        <v>485</v>
      </c>
      <c r="B22" s="645"/>
      <c r="C22" s="645"/>
      <c r="D22" s="645"/>
      <c r="E22" s="645"/>
      <c r="F22" s="645"/>
      <c r="G22" s="645"/>
      <c r="H22" s="645"/>
      <c r="I22" s="645"/>
      <c r="J22" s="645"/>
      <c r="K22" s="645"/>
      <c r="L22" s="645"/>
      <c r="M22" s="645"/>
      <c r="N22" s="645"/>
      <c r="O22" s="645"/>
      <c r="P22" s="645"/>
      <c r="Q22" s="645"/>
    </row>
    <row r="23" spans="1:21" s="516" customFormat="1" ht="15" hidden="1" customHeight="1" outlineLevel="1">
      <c r="A23" s="645"/>
      <c r="B23" s="645"/>
      <c r="C23" s="645"/>
      <c r="D23" s="645"/>
      <c r="E23" s="645"/>
      <c r="F23" s="645"/>
      <c r="G23" s="645"/>
      <c r="H23" s="645"/>
      <c r="I23" s="645"/>
      <c r="J23" s="645"/>
      <c r="K23" s="645"/>
      <c r="L23" s="645"/>
      <c r="M23" s="645"/>
      <c r="N23" s="645"/>
      <c r="O23" s="645"/>
      <c r="P23" s="645"/>
      <c r="Q23" s="645"/>
    </row>
    <row r="24" spans="1:21" s="516" customFormat="1" ht="15" hidden="1" customHeight="1" outlineLevel="1">
      <c r="A24" s="645"/>
      <c r="B24" s="645"/>
      <c r="C24" s="645"/>
      <c r="D24" s="645"/>
      <c r="E24" s="645"/>
      <c r="F24" s="645"/>
      <c r="G24" s="645"/>
      <c r="H24" s="645"/>
      <c r="I24" s="645"/>
      <c r="J24" s="645"/>
      <c r="K24" s="645"/>
      <c r="L24" s="645"/>
      <c r="M24" s="645"/>
      <c r="N24" s="645"/>
      <c r="O24" s="645"/>
      <c r="P24" s="645"/>
      <c r="Q24" s="645"/>
    </row>
    <row r="25" spans="1:21" ht="15" hidden="1" customHeight="1" outlineLevel="1"/>
    <row r="26" spans="1:21" s="516" customFormat="1" ht="15" hidden="1" customHeight="1" outlineLevel="1">
      <c r="A26" s="645" t="s">
        <v>491</v>
      </c>
      <c r="B26" s="645"/>
      <c r="C26" s="645"/>
      <c r="D26" s="645"/>
      <c r="E26" s="645"/>
      <c r="F26" s="645"/>
      <c r="G26" s="645"/>
      <c r="H26" s="645"/>
      <c r="I26" s="645"/>
      <c r="J26" s="645"/>
      <c r="K26" s="645"/>
      <c r="L26" s="645"/>
      <c r="M26" s="645"/>
      <c r="N26" s="645"/>
      <c r="O26" s="645"/>
      <c r="P26" s="645"/>
      <c r="Q26" s="645"/>
    </row>
    <row r="27" spans="1:21" s="516" customFormat="1" ht="15" hidden="1" customHeight="1" outlineLevel="1">
      <c r="A27" s="645"/>
      <c r="B27" s="645"/>
      <c r="C27" s="645"/>
      <c r="D27" s="645"/>
      <c r="E27" s="645"/>
      <c r="F27" s="645"/>
      <c r="G27" s="645"/>
      <c r="H27" s="645"/>
      <c r="I27" s="645"/>
      <c r="J27" s="645"/>
      <c r="K27" s="645"/>
      <c r="L27" s="645"/>
      <c r="M27" s="645"/>
      <c r="N27" s="645"/>
      <c r="O27" s="645"/>
      <c r="P27" s="645"/>
      <c r="Q27" s="645"/>
    </row>
    <row r="28" spans="1:21" s="516" customFormat="1" ht="15" hidden="1" customHeight="1" outlineLevel="1">
      <c r="A28" s="517" t="s">
        <v>130</v>
      </c>
      <c r="B28" s="518"/>
      <c r="C28" s="518"/>
      <c r="D28" s="518"/>
      <c r="E28" s="518"/>
      <c r="F28" s="518"/>
      <c r="G28" s="518"/>
      <c r="H28" s="518"/>
      <c r="I28" s="518"/>
      <c r="J28" s="518"/>
      <c r="K28" s="518"/>
      <c r="L28" s="518"/>
      <c r="M28" s="518"/>
      <c r="N28" s="518"/>
      <c r="O28" s="518"/>
      <c r="P28" s="518" t="s">
        <v>131</v>
      </c>
      <c r="Q28" s="518" t="s">
        <v>127</v>
      </c>
      <c r="R28" s="518" t="s">
        <v>128</v>
      </c>
      <c r="S28" s="518" t="s">
        <v>126</v>
      </c>
      <c r="T28" s="518" t="s">
        <v>129</v>
      </c>
      <c r="U28" s="518" t="s">
        <v>132</v>
      </c>
    </row>
    <row r="29" spans="1:21" s="516" customFormat="1" ht="15" hidden="1" customHeight="1" outlineLevel="1">
      <c r="A29" s="519" t="s">
        <v>492</v>
      </c>
      <c r="B29" s="520"/>
      <c r="C29" s="520"/>
      <c r="D29" s="520"/>
      <c r="E29" s="520"/>
      <c r="F29" s="520"/>
      <c r="G29" s="520"/>
      <c r="H29" s="520"/>
      <c r="I29" s="520"/>
      <c r="J29" s="520"/>
      <c r="K29" s="523"/>
      <c r="L29" s="523"/>
      <c r="M29" s="523"/>
      <c r="N29" s="523"/>
      <c r="O29" s="523"/>
      <c r="P29" s="520">
        <v>0</v>
      </c>
      <c r="Q29" s="520">
        <v>0.4</v>
      </c>
      <c r="R29" s="520">
        <v>3.5</v>
      </c>
      <c r="S29" s="520">
        <v>3.8</v>
      </c>
      <c r="T29" s="520">
        <v>7.2</v>
      </c>
      <c r="U29" s="520">
        <v>4.0999999999999996</v>
      </c>
    </row>
    <row r="30" spans="1:21" s="516" customFormat="1" ht="15" hidden="1" customHeight="1" outlineLevel="1">
      <c r="A30" s="519" t="s">
        <v>493</v>
      </c>
      <c r="B30" s="520"/>
      <c r="C30" s="520"/>
      <c r="D30" s="520"/>
      <c r="E30" s="520"/>
      <c r="F30" s="520"/>
      <c r="G30" s="520"/>
      <c r="H30" s="520"/>
      <c r="I30" s="520"/>
      <c r="J30" s="520"/>
      <c r="K30" s="523"/>
      <c r="L30" s="523"/>
      <c r="M30" s="523"/>
      <c r="N30" s="523"/>
      <c r="O30" s="523"/>
      <c r="P30" s="520">
        <v>0</v>
      </c>
      <c r="Q30" s="520">
        <v>1</v>
      </c>
      <c r="R30" s="520">
        <v>6.9</v>
      </c>
      <c r="S30" s="520">
        <v>7.9</v>
      </c>
      <c r="T30" s="520">
        <v>18.3</v>
      </c>
      <c r="U30" s="520">
        <v>10.4</v>
      </c>
    </row>
    <row r="31" spans="1:21" s="516" customFormat="1" ht="15" hidden="1" customHeight="1" outlineLevel="1">
      <c r="A31" s="519" t="s">
        <v>494</v>
      </c>
      <c r="B31" s="520"/>
      <c r="C31" s="520"/>
      <c r="D31" s="520"/>
      <c r="E31" s="520"/>
      <c r="F31" s="520"/>
      <c r="G31" s="520"/>
      <c r="H31" s="520"/>
      <c r="I31" s="520"/>
      <c r="J31" s="520"/>
      <c r="K31" s="523"/>
      <c r="L31" s="523"/>
      <c r="M31" s="523"/>
      <c r="N31" s="523"/>
      <c r="O31" s="523"/>
      <c r="P31" s="520">
        <v>0</v>
      </c>
      <c r="Q31" s="520">
        <v>0.2</v>
      </c>
      <c r="R31" s="520">
        <v>11.1</v>
      </c>
      <c r="S31" s="520">
        <v>7.8</v>
      </c>
      <c r="T31" s="520">
        <v>30</v>
      </c>
      <c r="U31" s="520">
        <v>17.100000000000001</v>
      </c>
    </row>
    <row r="32" spans="1:21" s="516" customFormat="1" ht="15" hidden="1" customHeight="1" outlineLevel="1">
      <c r="A32" s="519" t="s">
        <v>495</v>
      </c>
      <c r="B32" s="520"/>
      <c r="C32" s="520"/>
      <c r="D32" s="520"/>
      <c r="E32" s="520"/>
      <c r="F32" s="520"/>
      <c r="G32" s="520"/>
      <c r="H32" s="520"/>
      <c r="I32" s="520"/>
      <c r="J32" s="520"/>
      <c r="K32" s="523"/>
      <c r="L32" s="523"/>
      <c r="M32" s="523"/>
      <c r="N32" s="523"/>
      <c r="O32" s="523"/>
      <c r="P32" s="520">
        <v>0</v>
      </c>
      <c r="Q32" s="520">
        <v>0.5</v>
      </c>
      <c r="R32" s="520">
        <v>9.1999999999999993</v>
      </c>
      <c r="S32" s="520">
        <v>3</v>
      </c>
      <c r="T32" s="520">
        <v>24.6</v>
      </c>
      <c r="U32" s="520">
        <v>14</v>
      </c>
    </row>
    <row r="33" spans="1:21" s="516" customFormat="1" ht="15" hidden="1" customHeight="1" outlineLevel="1">
      <c r="A33" s="519" t="s">
        <v>496</v>
      </c>
      <c r="B33" s="520"/>
      <c r="C33" s="520"/>
      <c r="D33" s="520"/>
      <c r="E33" s="520"/>
      <c r="F33" s="520"/>
      <c r="G33" s="520"/>
      <c r="H33" s="520"/>
      <c r="I33" s="520"/>
      <c r="J33" s="520"/>
      <c r="K33" s="523"/>
      <c r="L33" s="523"/>
      <c r="M33" s="523"/>
      <c r="N33" s="523"/>
      <c r="O33" s="523"/>
      <c r="P33" s="520">
        <v>0</v>
      </c>
      <c r="Q33" s="520">
        <v>2.2999999999999998</v>
      </c>
      <c r="R33" s="520">
        <v>10.5</v>
      </c>
      <c r="S33" s="520">
        <v>10.7</v>
      </c>
      <c r="T33" s="520">
        <v>34.4</v>
      </c>
      <c r="U33" s="520">
        <v>19.7</v>
      </c>
    </row>
    <row r="34" spans="1:21" s="516" customFormat="1" ht="15" hidden="1" customHeight="1" outlineLevel="1"/>
    <row r="35" spans="1:21" s="340" customFormat="1" ht="15" hidden="1" customHeight="1" outlineLevel="1">
      <c r="A35" s="340" t="s">
        <v>173</v>
      </c>
      <c r="B35" s="151">
        <f>10^3</f>
        <v>1000</v>
      </c>
    </row>
    <row r="36" spans="1:21" s="340" customFormat="1" ht="15" hidden="1" customHeight="1" outlineLevel="1"/>
    <row r="37" spans="1:21" s="340" customFormat="1" ht="15" hidden="1" customHeight="1" outlineLevel="1">
      <c r="A37" s="9" t="s">
        <v>2</v>
      </c>
      <c r="B37" s="6"/>
      <c r="C37" s="6"/>
      <c r="D37" s="6"/>
      <c r="E37" s="6"/>
      <c r="F37" s="6"/>
      <c r="G37" s="6"/>
      <c r="H37" s="6"/>
      <c r="I37" s="6"/>
      <c r="J37" s="6"/>
      <c r="K37" s="6"/>
      <c r="L37" s="6"/>
      <c r="M37" s="6"/>
      <c r="N37" s="6"/>
      <c r="O37" s="6"/>
      <c r="P37" s="6"/>
      <c r="Q37" s="6">
        <v>2016</v>
      </c>
    </row>
    <row r="38" spans="1:21" s="340" customFormat="1" ht="15" hidden="1" customHeight="1" outlineLevel="1">
      <c r="A38" s="8" t="s">
        <v>3</v>
      </c>
      <c r="B38" s="12"/>
      <c r="C38" s="12"/>
      <c r="D38" s="12"/>
      <c r="E38" s="12"/>
      <c r="F38" s="12"/>
      <c r="G38" s="12"/>
      <c r="H38" s="12"/>
      <c r="I38" s="12"/>
      <c r="J38" s="12"/>
      <c r="K38" s="12"/>
      <c r="L38" s="12"/>
      <c r="M38" s="12"/>
      <c r="N38" s="12"/>
      <c r="O38" s="12"/>
      <c r="P38" s="12"/>
      <c r="Q38" s="11">
        <f>Indeksacja!$Q$41</f>
        <v>4.3632</v>
      </c>
    </row>
    <row r="39" spans="1:21" s="340" customFormat="1" ht="15" hidden="1" customHeight="1" outlineLevel="1">
      <c r="A39" s="35" t="str">
        <f>Indeksacja!$A$42</f>
        <v>Źródło: ECB, http://sdw.ecb.europa.eu/quickview.do?SERIES_KEY=120.EXR.A.PLN.EUR.SP00.A</v>
      </c>
    </row>
    <row r="40" spans="1:21" s="340" customFormat="1" ht="15" hidden="1" customHeight="1" outlineLevel="1"/>
    <row r="41" spans="1:21" s="375" customFormat="1" ht="15" hidden="1" customHeight="1" outlineLevel="1">
      <c r="A41" s="9" t="s">
        <v>349</v>
      </c>
      <c r="B41" s="6"/>
      <c r="C41" s="6"/>
      <c r="D41" s="6"/>
      <c r="E41" s="6"/>
      <c r="F41" s="6"/>
      <c r="G41" s="6"/>
      <c r="H41" s="6"/>
      <c r="I41" s="6"/>
      <c r="J41" s="6"/>
      <c r="K41" s="6"/>
      <c r="L41" s="6"/>
      <c r="M41" s="6"/>
      <c r="N41" s="6"/>
      <c r="O41" s="6"/>
      <c r="P41" s="6"/>
      <c r="Q41" s="6">
        <v>2016</v>
      </c>
    </row>
    <row r="42" spans="1:21" s="375" customFormat="1" ht="15" hidden="1" customHeight="1" outlineLevel="1">
      <c r="A42" s="8" t="s">
        <v>64</v>
      </c>
      <c r="B42" s="377"/>
      <c r="C42" s="377"/>
      <c r="D42" s="377"/>
      <c r="E42" s="377"/>
      <c r="F42" s="377"/>
      <c r="G42" s="377"/>
      <c r="H42" s="377"/>
      <c r="I42" s="377"/>
      <c r="J42" s="377"/>
      <c r="K42" s="377"/>
      <c r="L42" s="377"/>
      <c r="M42" s="377"/>
      <c r="N42" s="377"/>
      <c r="O42" s="377"/>
      <c r="P42" s="377"/>
      <c r="Q42" s="374">
        <f>Indeksacja!$Q$44</f>
        <v>68.2</v>
      </c>
    </row>
    <row r="43" spans="1:21" s="375" customFormat="1" ht="15" hidden="1" customHeight="1" outlineLevel="1">
      <c r="A43" s="35" t="str">
        <f>Indeksacja!$A$45</f>
        <v>Źródło: Eurostat, https://ec.europa.eu/eurostat/data/database Main GDP aggregates per capita [nama_10_pc] (aktualizacja 28.01.2022)</v>
      </c>
    </row>
    <row r="44" spans="1:21" s="454" customFormat="1" ht="15" hidden="1" customHeight="1" outlineLevel="1">
      <c r="A44" s="91"/>
    </row>
    <row r="45" spans="1:21" s="454" customFormat="1" ht="15" hidden="1" customHeight="1" outlineLevel="1">
      <c r="A45" s="649" t="str">
        <f>'Zanieczyszczenia samochody'!$A$91</f>
        <v xml:space="preserve">Wyjaśnienie w sprawie przeliczenia wyjściowych wartości kosztów jednostkowych z zastosowaniem kursu walutowego PLN/EUR oraz PKB Polski per capita w jednostkach siły nabywczej (PPS): </v>
      </c>
      <c r="B45" s="649"/>
      <c r="C45" s="649"/>
      <c r="D45" s="649"/>
      <c r="E45" s="649"/>
      <c r="F45" s="649"/>
      <c r="G45" s="649"/>
      <c r="H45" s="649"/>
      <c r="I45" s="649"/>
      <c r="J45" s="649"/>
      <c r="K45" s="649"/>
      <c r="L45" s="649"/>
      <c r="M45" s="649"/>
      <c r="N45" s="649"/>
      <c r="O45" s="649"/>
      <c r="P45" s="649"/>
      <c r="Q45" s="649"/>
    </row>
    <row r="46" spans="1:21" s="516" customFormat="1" ht="15" hidden="1" customHeight="1" outlineLevel="1">
      <c r="A46" s="649"/>
      <c r="B46" s="649"/>
      <c r="C46" s="649"/>
      <c r="D46" s="649"/>
      <c r="E46" s="649"/>
      <c r="F46" s="649"/>
      <c r="G46" s="649"/>
      <c r="H46" s="649"/>
      <c r="I46" s="649"/>
      <c r="J46" s="649"/>
      <c r="K46" s="649"/>
      <c r="L46" s="649"/>
      <c r="M46" s="649"/>
      <c r="N46" s="649"/>
      <c r="O46" s="649"/>
      <c r="P46" s="649"/>
      <c r="Q46" s="649"/>
    </row>
    <row r="47" spans="1:21" s="454" customFormat="1" ht="15" hidden="1" customHeight="1" outlineLevel="1">
      <c r="A47" s="408" t="s">
        <v>316</v>
      </c>
    </row>
    <row r="48" spans="1:21" s="375" customFormat="1" ht="15" customHeight="1" collapsed="1"/>
    <row r="49" spans="1:61">
      <c r="A49" s="709" t="s">
        <v>486</v>
      </c>
      <c r="B49" s="709"/>
      <c r="C49" s="709"/>
      <c r="D49" s="709"/>
      <c r="E49" s="709"/>
      <c r="F49" s="709"/>
      <c r="G49" s="709"/>
      <c r="H49" s="709"/>
      <c r="I49" s="709"/>
      <c r="J49" s="709"/>
      <c r="K49" s="709"/>
      <c r="L49" s="709"/>
      <c r="M49" s="709"/>
      <c r="N49" s="709"/>
      <c r="O49" s="709"/>
      <c r="P49" s="709"/>
      <c r="Q49" s="709"/>
    </row>
    <row r="50" spans="1:61" s="513" customFormat="1">
      <c r="A50" s="710"/>
      <c r="B50" s="710"/>
      <c r="C50" s="710"/>
      <c r="D50" s="710"/>
      <c r="E50" s="710"/>
      <c r="F50" s="710"/>
      <c r="G50" s="710"/>
      <c r="H50" s="710"/>
      <c r="I50" s="710"/>
      <c r="J50" s="710"/>
      <c r="K50" s="710"/>
      <c r="L50" s="710"/>
      <c r="M50" s="710"/>
      <c r="N50" s="710"/>
      <c r="O50" s="710"/>
      <c r="P50" s="710"/>
      <c r="Q50" s="710"/>
    </row>
    <row r="51" spans="1:61" s="406" customFormat="1">
      <c r="A51" s="700"/>
      <c r="B51" s="508" t="s">
        <v>221</v>
      </c>
      <c r="C51" s="497"/>
      <c r="D51" s="497"/>
      <c r="E51" s="497"/>
      <c r="F51" s="497"/>
      <c r="G51" s="497"/>
      <c r="H51" s="497"/>
      <c r="I51" s="497"/>
      <c r="J51" s="497"/>
      <c r="K51" s="497"/>
      <c r="L51" s="497"/>
      <c r="M51" s="497"/>
      <c r="N51" s="497"/>
      <c r="O51" s="497"/>
      <c r="P51" s="497"/>
      <c r="Q51" s="6"/>
      <c r="R51" s="6"/>
      <c r="S51" s="6"/>
      <c r="T51" s="6">
        <v>2020</v>
      </c>
      <c r="U51" s="6">
        <f>T51+1</f>
        <v>2021</v>
      </c>
      <c r="V51" s="6">
        <f t="shared" ref="V51:BI51" si="0">U51+1</f>
        <v>2022</v>
      </c>
      <c r="W51" s="6">
        <f t="shared" si="0"/>
        <v>2023</v>
      </c>
      <c r="X51" s="6">
        <f t="shared" si="0"/>
        <v>2024</v>
      </c>
      <c r="Y51" s="6">
        <f t="shared" si="0"/>
        <v>2025</v>
      </c>
      <c r="Z51" s="6">
        <f t="shared" si="0"/>
        <v>2026</v>
      </c>
      <c r="AA51" s="6">
        <f t="shared" si="0"/>
        <v>2027</v>
      </c>
      <c r="AB51" s="6">
        <f t="shared" si="0"/>
        <v>2028</v>
      </c>
      <c r="AC51" s="6">
        <f t="shared" si="0"/>
        <v>2029</v>
      </c>
      <c r="AD51" s="6">
        <f t="shared" si="0"/>
        <v>2030</v>
      </c>
      <c r="AE51" s="6">
        <f t="shared" si="0"/>
        <v>2031</v>
      </c>
      <c r="AF51" s="6">
        <f t="shared" si="0"/>
        <v>2032</v>
      </c>
      <c r="AG51" s="6">
        <f t="shared" si="0"/>
        <v>2033</v>
      </c>
      <c r="AH51" s="6">
        <f t="shared" si="0"/>
        <v>2034</v>
      </c>
      <c r="AI51" s="6">
        <f t="shared" si="0"/>
        <v>2035</v>
      </c>
      <c r="AJ51" s="6">
        <f t="shared" si="0"/>
        <v>2036</v>
      </c>
      <c r="AK51" s="6">
        <f t="shared" si="0"/>
        <v>2037</v>
      </c>
      <c r="AL51" s="6">
        <f t="shared" si="0"/>
        <v>2038</v>
      </c>
      <c r="AM51" s="6">
        <f t="shared" si="0"/>
        <v>2039</v>
      </c>
      <c r="AN51" s="6">
        <f t="shared" si="0"/>
        <v>2040</v>
      </c>
      <c r="AO51" s="6">
        <f t="shared" si="0"/>
        <v>2041</v>
      </c>
      <c r="AP51" s="6">
        <f t="shared" si="0"/>
        <v>2042</v>
      </c>
      <c r="AQ51" s="6">
        <f t="shared" si="0"/>
        <v>2043</v>
      </c>
      <c r="AR51" s="6">
        <f t="shared" si="0"/>
        <v>2044</v>
      </c>
      <c r="AS51" s="6">
        <f t="shared" si="0"/>
        <v>2045</v>
      </c>
      <c r="AT51" s="6">
        <f t="shared" si="0"/>
        <v>2046</v>
      </c>
      <c r="AU51" s="6">
        <f t="shared" si="0"/>
        <v>2047</v>
      </c>
      <c r="AV51" s="6">
        <f t="shared" si="0"/>
        <v>2048</v>
      </c>
      <c r="AW51" s="6">
        <f t="shared" si="0"/>
        <v>2049</v>
      </c>
      <c r="AX51" s="6">
        <f t="shared" si="0"/>
        <v>2050</v>
      </c>
      <c r="AY51" s="6">
        <f t="shared" si="0"/>
        <v>2051</v>
      </c>
      <c r="AZ51" s="6">
        <f t="shared" si="0"/>
        <v>2052</v>
      </c>
      <c r="BA51" s="6">
        <f t="shared" si="0"/>
        <v>2053</v>
      </c>
      <c r="BB51" s="6">
        <f t="shared" si="0"/>
        <v>2054</v>
      </c>
      <c r="BC51" s="6">
        <f t="shared" si="0"/>
        <v>2055</v>
      </c>
      <c r="BD51" s="6">
        <f t="shared" si="0"/>
        <v>2056</v>
      </c>
      <c r="BE51" s="6">
        <f t="shared" si="0"/>
        <v>2057</v>
      </c>
      <c r="BF51" s="6">
        <f t="shared" si="0"/>
        <v>2058</v>
      </c>
      <c r="BG51" s="6">
        <f t="shared" si="0"/>
        <v>2059</v>
      </c>
      <c r="BH51" s="6">
        <f t="shared" si="0"/>
        <v>2060</v>
      </c>
      <c r="BI51" s="6">
        <f t="shared" si="0"/>
        <v>2061</v>
      </c>
    </row>
    <row r="52" spans="1:61">
      <c r="A52" s="701"/>
      <c r="B52" s="509" t="s">
        <v>315</v>
      </c>
      <c r="C52" s="495"/>
      <c r="D52" s="495"/>
      <c r="E52" s="495"/>
      <c r="F52" s="495"/>
      <c r="G52" s="495"/>
      <c r="H52" s="495"/>
      <c r="I52" s="495"/>
      <c r="J52" s="495"/>
      <c r="K52" s="495"/>
      <c r="L52" s="495"/>
      <c r="M52" s="495"/>
      <c r="N52" s="495"/>
      <c r="O52" s="495"/>
      <c r="P52" s="495"/>
      <c r="Q52" s="506">
        <f>DATE(2016,12,31)</f>
        <v>42735</v>
      </c>
      <c r="R52" s="506">
        <f>DATE(YEAR(Q52+1),12,31)</f>
        <v>43100</v>
      </c>
      <c r="S52" s="506">
        <f t="shared" ref="S52" si="1">DATE(YEAR(R52+1),12,31)</f>
        <v>43465</v>
      </c>
      <c r="T52" s="506">
        <f>DATE(YEAR(S52+1),12,31)</f>
        <v>43830</v>
      </c>
      <c r="U52" s="506">
        <f t="shared" ref="U52:BI52" si="2">DATE(YEAR(T52+1),12,31)</f>
        <v>44196</v>
      </c>
      <c r="V52" s="506">
        <f t="shared" si="2"/>
        <v>44561</v>
      </c>
      <c r="W52" s="506">
        <f t="shared" si="2"/>
        <v>44926</v>
      </c>
      <c r="X52" s="506">
        <f t="shared" si="2"/>
        <v>45291</v>
      </c>
      <c r="Y52" s="506">
        <f t="shared" si="2"/>
        <v>45657</v>
      </c>
      <c r="Z52" s="506">
        <f t="shared" si="2"/>
        <v>46022</v>
      </c>
      <c r="AA52" s="506">
        <f t="shared" si="2"/>
        <v>46387</v>
      </c>
      <c r="AB52" s="506">
        <f t="shared" si="2"/>
        <v>46752</v>
      </c>
      <c r="AC52" s="506">
        <f t="shared" si="2"/>
        <v>47118</v>
      </c>
      <c r="AD52" s="506">
        <f t="shared" si="2"/>
        <v>47483</v>
      </c>
      <c r="AE52" s="506">
        <f t="shared" si="2"/>
        <v>47848</v>
      </c>
      <c r="AF52" s="506">
        <f t="shared" si="2"/>
        <v>48213</v>
      </c>
      <c r="AG52" s="506">
        <f t="shared" si="2"/>
        <v>48579</v>
      </c>
      <c r="AH52" s="506">
        <f t="shared" si="2"/>
        <v>48944</v>
      </c>
      <c r="AI52" s="506">
        <f t="shared" si="2"/>
        <v>49309</v>
      </c>
      <c r="AJ52" s="506">
        <f t="shared" si="2"/>
        <v>49674</v>
      </c>
      <c r="AK52" s="506">
        <f t="shared" si="2"/>
        <v>50040</v>
      </c>
      <c r="AL52" s="506">
        <f t="shared" si="2"/>
        <v>50405</v>
      </c>
      <c r="AM52" s="506">
        <f t="shared" si="2"/>
        <v>50770</v>
      </c>
      <c r="AN52" s="506">
        <f t="shared" si="2"/>
        <v>51135</v>
      </c>
      <c r="AO52" s="506">
        <f t="shared" si="2"/>
        <v>51501</v>
      </c>
      <c r="AP52" s="506">
        <f t="shared" si="2"/>
        <v>51866</v>
      </c>
      <c r="AQ52" s="506">
        <f t="shared" si="2"/>
        <v>52231</v>
      </c>
      <c r="AR52" s="506">
        <f t="shared" si="2"/>
        <v>52596</v>
      </c>
      <c r="AS52" s="506">
        <f t="shared" si="2"/>
        <v>52962</v>
      </c>
      <c r="AT52" s="506">
        <f t="shared" si="2"/>
        <v>53327</v>
      </c>
      <c r="AU52" s="506">
        <f t="shared" si="2"/>
        <v>53692</v>
      </c>
      <c r="AV52" s="506">
        <f t="shared" si="2"/>
        <v>54057</v>
      </c>
      <c r="AW52" s="506">
        <f t="shared" si="2"/>
        <v>54423</v>
      </c>
      <c r="AX52" s="506">
        <f t="shared" si="2"/>
        <v>54788</v>
      </c>
      <c r="AY52" s="506">
        <f t="shared" si="2"/>
        <v>55153</v>
      </c>
      <c r="AZ52" s="506">
        <f t="shared" si="2"/>
        <v>55518</v>
      </c>
      <c r="BA52" s="506">
        <f t="shared" si="2"/>
        <v>55884</v>
      </c>
      <c r="BB52" s="506">
        <f t="shared" si="2"/>
        <v>56249</v>
      </c>
      <c r="BC52" s="506">
        <f t="shared" si="2"/>
        <v>56614</v>
      </c>
      <c r="BD52" s="506">
        <f t="shared" si="2"/>
        <v>56979</v>
      </c>
      <c r="BE52" s="506">
        <f t="shared" si="2"/>
        <v>57345</v>
      </c>
      <c r="BF52" s="506">
        <f t="shared" si="2"/>
        <v>57710</v>
      </c>
      <c r="BG52" s="506">
        <f t="shared" si="2"/>
        <v>58075</v>
      </c>
      <c r="BH52" s="506">
        <f t="shared" si="2"/>
        <v>58440</v>
      </c>
      <c r="BI52" s="506">
        <f t="shared" si="2"/>
        <v>58806</v>
      </c>
    </row>
    <row r="53" spans="1:61" ht="18">
      <c r="A53" s="265" t="s">
        <v>131</v>
      </c>
      <c r="B53" s="266"/>
      <c r="C53" s="264"/>
      <c r="D53" s="264"/>
      <c r="E53" s="264"/>
      <c r="F53" s="264"/>
      <c r="G53" s="264"/>
      <c r="H53" s="264"/>
      <c r="I53" s="264"/>
      <c r="J53" s="264"/>
      <c r="K53" s="264"/>
      <c r="L53" s="264"/>
      <c r="M53" s="264"/>
      <c r="N53" s="264"/>
      <c r="O53" s="264"/>
      <c r="P53" s="264"/>
      <c r="Q53" s="267">
        <f>P15*$B$35*$Q$38*$Q$42/100</f>
        <v>42850.114560000002</v>
      </c>
      <c r="R53" s="268">
        <f>Q53*Indeksacja!R$61</f>
        <v>45385.443936942138</v>
      </c>
      <c r="S53" s="263">
        <f>R53*Indeksacja!S$61</f>
        <v>48104.799499716479</v>
      </c>
      <c r="T53" s="263">
        <f>S53*Indeksacja!T$61</f>
        <v>51062.92530289141</v>
      </c>
      <c r="U53" s="263">
        <f>T53*Indeksacja!U$61</f>
        <v>51866.9453134586</v>
      </c>
      <c r="V53" s="263">
        <f>U53*Indeksacja!V$61</f>
        <v>57097.606300591666</v>
      </c>
      <c r="W53" s="263">
        <f>V53*Indeksacja!W$61</f>
        <v>58924.346956257519</v>
      </c>
      <c r="X53" s="263">
        <f>W53*Indeksacja!X$61</f>
        <v>60533.949669890666</v>
      </c>
      <c r="Y53" s="263">
        <f>X53*Indeksacja!Y$61</f>
        <v>62099.179051865911</v>
      </c>
      <c r="Z53" s="263">
        <f>Y53*Indeksacja!Z$61</f>
        <v>63763.886744298448</v>
      </c>
      <c r="AA53" s="263">
        <f>Z53*Indeksacja!AA$61</f>
        <v>65431.612383877829</v>
      </c>
      <c r="AB53" s="263">
        <f>AA53*Indeksacja!AB$61</f>
        <v>67152.794925692026</v>
      </c>
      <c r="AC53" s="263">
        <f>AB53*Indeksacja!AC$61</f>
        <v>68875.400732170834</v>
      </c>
      <c r="AD53" s="263">
        <f>AC53*Indeksacja!AD$61</f>
        <v>70596.960887020134</v>
      </c>
      <c r="AE53" s="263">
        <f>AD53*Indeksacja!AE$61</f>
        <v>72314.85012348817</v>
      </c>
      <c r="AF53" s="263">
        <f>AE53*Indeksacja!AF$61</f>
        <v>74085.998470926919</v>
      </c>
      <c r="AG53" s="263">
        <f>AF53*Indeksacja!AG$61</f>
        <v>75852.066549070849</v>
      </c>
      <c r="AH53" s="263">
        <f>AG53*Indeksacja!AH$61</f>
        <v>77670.69452947336</v>
      </c>
      <c r="AI53" s="263">
        <f>AH53*Indeksacja!AI$61</f>
        <v>79480.281176263161</v>
      </c>
      <c r="AJ53" s="263">
        <f>AI53*Indeksacja!AJ$61</f>
        <v>81276.889227182008</v>
      </c>
      <c r="AK53" s="263">
        <f>AJ53*Indeksacja!AK$61</f>
        <v>83057.648341612978</v>
      </c>
      <c r="AL53" s="263">
        <f>AK53*Indeksacja!AL$61</f>
        <v>84818.630700272653</v>
      </c>
      <c r="AM53" s="263">
        <f>AL53*Indeksacja!AM$61</f>
        <v>86555.846377240814</v>
      </c>
      <c r="AN53" s="263">
        <f>AM53*Indeksacja!AN$61</f>
        <v>88265.14064582916</v>
      </c>
      <c r="AO53" s="263">
        <f>AN53*Indeksacja!AO$61</f>
        <v>90013.826201496515</v>
      </c>
      <c r="AP53" s="263">
        <f>AO53*Indeksacja!AP$61</f>
        <v>91656.906625360207</v>
      </c>
      <c r="AQ53" s="263">
        <f>AP53*Indeksacja!AQ$61</f>
        <v>93334.471266206587</v>
      </c>
      <c r="AR53" s="263">
        <f>AQ53*Indeksacja!AR$61</f>
        <v>95046.598621255442</v>
      </c>
      <c r="AS53" s="263">
        <f>AR53*Indeksacja!AS$61</f>
        <v>96717.695505118769</v>
      </c>
      <c r="AT53" s="263">
        <f>AS53*Indeksacja!AT$61</f>
        <v>98344.112058177503</v>
      </c>
      <c r="AU53" s="263">
        <f>AT53*Indeksacja!AU$61</f>
        <v>99922.242517828287</v>
      </c>
      <c r="AV53" s="263">
        <f>AU53*Indeksacja!AV$61</f>
        <v>101529.21786718667</v>
      </c>
      <c r="AW53" s="263">
        <f>AV53*Indeksacja!AW$61</f>
        <v>103164.77144142699</v>
      </c>
      <c r="AX53" s="263">
        <f>AW53*Indeksacja!AX$61</f>
        <v>104829.1963064962</v>
      </c>
      <c r="AY53" s="263">
        <f>AX53*Indeksacja!AY$61</f>
        <v>106438.00897425371</v>
      </c>
      <c r="AZ53" s="263">
        <f>AY53*Indeksacja!AZ$61</f>
        <v>108057.30992324885</v>
      </c>
      <c r="BA53" s="263">
        <f>AZ53*Indeksacja!BA$61</f>
        <v>109701.2462030688</v>
      </c>
      <c r="BB53" s="263">
        <f>BA53*Indeksacja!BB$61</f>
        <v>111370.19260477713</v>
      </c>
      <c r="BC53" s="263">
        <f>BB53*Indeksacja!BC$61</f>
        <v>113064.52962134336</v>
      </c>
      <c r="BD53" s="263">
        <f>BC53*Indeksacja!BD$61</f>
        <v>114784.64353438937</v>
      </c>
      <c r="BE53" s="263">
        <f>BD53*Indeksacja!BE$61</f>
        <v>116623.20855136322</v>
      </c>
      <c r="BF53" s="263">
        <f>BE53*Indeksacja!BF$61</f>
        <v>118491.22281535788</v>
      </c>
      <c r="BG53" s="263">
        <f>BF53*Indeksacja!BG$61</f>
        <v>120389.15803019784</v>
      </c>
      <c r="BH53" s="263">
        <f>BG53*Indeksacja!BH$61</f>
        <v>122414.28129941822</v>
      </c>
      <c r="BI53" s="263">
        <f>BH53*Indeksacja!BI$61</f>
        <v>124473.47013004495</v>
      </c>
    </row>
    <row r="54" spans="1:61">
      <c r="A54" s="269" t="s">
        <v>127</v>
      </c>
      <c r="B54" s="266"/>
      <c r="C54" s="264"/>
      <c r="D54" s="264"/>
      <c r="E54" s="264"/>
      <c r="F54" s="264"/>
      <c r="G54" s="264"/>
      <c r="H54" s="264"/>
      <c r="I54" s="264"/>
      <c r="J54" s="264"/>
      <c r="K54" s="264"/>
      <c r="L54" s="264"/>
      <c r="M54" s="264"/>
      <c r="N54" s="264"/>
      <c r="O54" s="264"/>
      <c r="P54" s="264"/>
      <c r="Q54" s="267">
        <f>Q15*$B$35*$Q$38*$Q$42/100</f>
        <v>2082.9916800000001</v>
      </c>
      <c r="R54" s="268">
        <f>Q54*Indeksacja!R$61</f>
        <v>2206.2368580457983</v>
      </c>
      <c r="S54" s="263">
        <f>R54*Indeksacja!S$61</f>
        <v>2338.4277534584398</v>
      </c>
      <c r="T54" s="263">
        <f>S54*Indeksacja!T$61</f>
        <v>2482.2255355572211</v>
      </c>
      <c r="U54" s="263">
        <f>T54*Indeksacja!U$61</f>
        <v>2521.3098416264597</v>
      </c>
      <c r="V54" s="263">
        <f>U54*Indeksacja!V$61</f>
        <v>2775.5780840565394</v>
      </c>
      <c r="W54" s="263">
        <f>V54*Indeksacja!W$61</f>
        <v>2864.3779770402962</v>
      </c>
      <c r="X54" s="263">
        <f>W54*Indeksacja!X$61</f>
        <v>2942.622553397463</v>
      </c>
      <c r="Y54" s="263">
        <f>X54*Indeksacja!Y$61</f>
        <v>3018.7100927990373</v>
      </c>
      <c r="Z54" s="263">
        <f>Y54*Indeksacja!Z$61</f>
        <v>3099.6333834033967</v>
      </c>
      <c r="AA54" s="263">
        <f>Z54*Indeksacja!AA$61</f>
        <v>3180.7033797718391</v>
      </c>
      <c r="AB54" s="263">
        <f>AA54*Indeksacja!AB$61</f>
        <v>3264.3719755544739</v>
      </c>
      <c r="AC54" s="263">
        <f>AB54*Indeksacja!AC$61</f>
        <v>3348.1097578138606</v>
      </c>
      <c r="AD54" s="263">
        <f>AC54*Indeksacja!AD$61</f>
        <v>3431.7967097857018</v>
      </c>
      <c r="AE54" s="263">
        <f>AD54*Indeksacja!AE$61</f>
        <v>3515.3052143362311</v>
      </c>
      <c r="AF54" s="263">
        <f>AE54*Indeksacja!AF$61</f>
        <v>3601.4027034478368</v>
      </c>
      <c r="AG54" s="263">
        <f>AF54*Indeksacja!AG$61</f>
        <v>3687.2532350242773</v>
      </c>
      <c r="AH54" s="263">
        <f>AG54*Indeksacja!AH$61</f>
        <v>3775.6587618493991</v>
      </c>
      <c r="AI54" s="263">
        <f>AH54*Indeksacja!AI$61</f>
        <v>3863.6247794016813</v>
      </c>
      <c r="AJ54" s="263">
        <f>AI54*Indeksacja!AJ$61</f>
        <v>3950.959892988014</v>
      </c>
      <c r="AK54" s="263">
        <f>AJ54*Indeksacja!AK$61</f>
        <v>4037.5245721617416</v>
      </c>
      <c r="AL54" s="263">
        <f>AK54*Indeksacja!AL$61</f>
        <v>4123.1278812632536</v>
      </c>
      <c r="AM54" s="263">
        <f>AL54*Indeksacja!AM$61</f>
        <v>4207.5758655603167</v>
      </c>
      <c r="AN54" s="263">
        <f>AM54*Indeksacja!AN$61</f>
        <v>4290.6665591722503</v>
      </c>
      <c r="AO54" s="263">
        <f>AN54*Indeksacja!AO$61</f>
        <v>4375.6721070171916</v>
      </c>
      <c r="AP54" s="263">
        <f>AO54*Indeksacja!AP$61</f>
        <v>4455.5440720661209</v>
      </c>
      <c r="AQ54" s="263">
        <f>AP54*Indeksacja!AQ$61</f>
        <v>4537.0923532183751</v>
      </c>
      <c r="AR54" s="263">
        <f>AQ54*Indeksacja!AR$61</f>
        <v>4620.3207663110279</v>
      </c>
      <c r="AS54" s="263">
        <f>AR54*Indeksacja!AS$61</f>
        <v>4701.5546426099399</v>
      </c>
      <c r="AT54" s="263">
        <f>AS54*Indeksacja!AT$61</f>
        <v>4780.6165583836282</v>
      </c>
      <c r="AU54" s="263">
        <f>AT54*Indeksacja!AU$61</f>
        <v>4857.3312335055416</v>
      </c>
      <c r="AV54" s="263">
        <f>AU54*Indeksacja!AV$61</f>
        <v>4935.4480907660181</v>
      </c>
      <c r="AW54" s="263">
        <f>AV54*Indeksacja!AW$61</f>
        <v>5014.9541672915884</v>
      </c>
      <c r="AX54" s="263">
        <f>AW54*Indeksacja!AX$61</f>
        <v>5095.8637093435646</v>
      </c>
      <c r="AY54" s="263">
        <f>AX54*Indeksacja!AY$61</f>
        <v>5174.0698806928876</v>
      </c>
      <c r="AZ54" s="263">
        <f>AY54*Indeksacja!AZ$61</f>
        <v>5252.7858990468176</v>
      </c>
      <c r="BA54" s="263">
        <f>AZ54*Indeksacja!BA$61</f>
        <v>5332.6994682047325</v>
      </c>
      <c r="BB54" s="263">
        <f>BA54*Indeksacja!BB$61</f>
        <v>5413.8288071766647</v>
      </c>
      <c r="BC54" s="263">
        <f>BB54*Indeksacja!BC$61</f>
        <v>5496.1924121486345</v>
      </c>
      <c r="BD54" s="263">
        <f>BC54*Indeksacja!BD$61</f>
        <v>5579.809060699482</v>
      </c>
      <c r="BE54" s="263">
        <f>BD54*Indeksacja!BE$61</f>
        <v>5669.1837490245998</v>
      </c>
      <c r="BF54" s="263">
        <f>BE54*Indeksacja!BF$61</f>
        <v>5759.9899979687843</v>
      </c>
      <c r="BG54" s="263">
        <f>BF54*Indeksacja!BG$61</f>
        <v>5852.2507375790601</v>
      </c>
      <c r="BH54" s="263">
        <f>BG54*Indeksacja!BH$61</f>
        <v>5950.6942298328286</v>
      </c>
      <c r="BI54" s="263">
        <f>BH54*Indeksacja!BI$61</f>
        <v>6050.793686877184</v>
      </c>
    </row>
    <row r="55" spans="1:61" ht="18">
      <c r="A55" s="265" t="s">
        <v>128</v>
      </c>
      <c r="B55" s="266"/>
      <c r="C55" s="264"/>
      <c r="D55" s="264"/>
      <c r="E55" s="264"/>
      <c r="F55" s="264"/>
      <c r="G55" s="264"/>
      <c r="H55" s="264"/>
      <c r="I55" s="264"/>
      <c r="J55" s="264"/>
      <c r="K55" s="264"/>
      <c r="L55" s="264"/>
      <c r="M55" s="264"/>
      <c r="N55" s="264"/>
      <c r="O55" s="264"/>
      <c r="P55" s="264"/>
      <c r="Q55" s="267">
        <f>R15*$B$35*$Q$38*$Q$42/100</f>
        <v>24400.759679999999</v>
      </c>
      <c r="R55" s="268">
        <f>Q55*Indeksacja!R$61</f>
        <v>25844.488908536496</v>
      </c>
      <c r="S55" s="263">
        <f>R55*Indeksacja!S$61</f>
        <v>27393.010826227437</v>
      </c>
      <c r="T55" s="263">
        <f>S55*Indeksacja!T$61</f>
        <v>29077.499130813161</v>
      </c>
      <c r="U55" s="263">
        <f>T55*Indeksacja!U$61</f>
        <v>29535.343859052813</v>
      </c>
      <c r="V55" s="263">
        <f>U55*Indeksacja!V$61</f>
        <v>32513.914698948032</v>
      </c>
      <c r="W55" s="263">
        <f>V55*Indeksacja!W$61</f>
        <v>33554.14201675776</v>
      </c>
      <c r="X55" s="263">
        <f>W55*Indeksacja!X$61</f>
        <v>34470.72133979886</v>
      </c>
      <c r="Y55" s="263">
        <f>X55*Indeksacja!Y$61</f>
        <v>35362.032515645871</v>
      </c>
      <c r="Z55" s="263">
        <f>Y55*Indeksacja!Z$61</f>
        <v>36309.991062725509</v>
      </c>
      <c r="AA55" s="263">
        <f>Z55*Indeksacja!AA$61</f>
        <v>37259.668163041548</v>
      </c>
      <c r="AB55" s="263">
        <f>AA55*Indeksacja!AB$61</f>
        <v>38239.785999352411</v>
      </c>
      <c r="AC55" s="263">
        <f>AB55*Indeksacja!AC$61</f>
        <v>39220.714305819514</v>
      </c>
      <c r="AD55" s="263">
        <f>AC55*Indeksacja!AD$61</f>
        <v>40201.047171775368</v>
      </c>
      <c r="AE55" s="263">
        <f>AD55*Indeksacja!AE$61</f>
        <v>41179.289653652995</v>
      </c>
      <c r="AF55" s="263">
        <f>AE55*Indeksacja!AF$61</f>
        <v>42187.860240388953</v>
      </c>
      <c r="AG55" s="263">
        <f>AF55*Indeksacja!AG$61</f>
        <v>43193.537895998685</v>
      </c>
      <c r="AH55" s="263">
        <f>AG55*Indeksacja!AH$61</f>
        <v>44229.145495950113</v>
      </c>
      <c r="AI55" s="263">
        <f>AH55*Indeksacja!AI$61</f>
        <v>45259.604558705418</v>
      </c>
      <c r="AJ55" s="263">
        <f>AI55*Indeksacja!AJ$61</f>
        <v>46282.673032145314</v>
      </c>
      <c r="AK55" s="263">
        <f>AJ55*Indeksacja!AK$61</f>
        <v>47296.716416751842</v>
      </c>
      <c r="AL55" s="263">
        <f>AK55*Indeksacja!AL$61</f>
        <v>48299.498037655263</v>
      </c>
      <c r="AM55" s="263">
        <f>AL55*Indeksacja!AM$61</f>
        <v>49288.745853706576</v>
      </c>
      <c r="AN55" s="263">
        <f>AM55*Indeksacja!AN$61</f>
        <v>50262.093978874938</v>
      </c>
      <c r="AO55" s="263">
        <f>AN55*Indeksacja!AO$61</f>
        <v>51257.873253629965</v>
      </c>
      <c r="AP55" s="263">
        <f>AO55*Indeksacja!AP$61</f>
        <v>52193.51627277457</v>
      </c>
      <c r="AQ55" s="263">
        <f>AP55*Indeksacja!AQ$61</f>
        <v>53148.796137700978</v>
      </c>
      <c r="AR55" s="263">
        <f>AQ55*Indeksacja!AR$61</f>
        <v>54123.757548214911</v>
      </c>
      <c r="AS55" s="263">
        <f>AR55*Indeksacja!AS$61</f>
        <v>55075.354384859304</v>
      </c>
      <c r="AT55" s="263">
        <f>AS55*Indeksacja!AT$61</f>
        <v>56001.50825535108</v>
      </c>
      <c r="AU55" s="263">
        <f>AT55*Indeksacja!AU$61</f>
        <v>56900.165878207779</v>
      </c>
      <c r="AV55" s="263">
        <f>AU55*Indeksacja!AV$61</f>
        <v>57815.249063259078</v>
      </c>
      <c r="AW55" s="263">
        <f>AV55*Indeksacja!AW$61</f>
        <v>58746.605959701476</v>
      </c>
      <c r="AX55" s="263">
        <f>AW55*Indeksacja!AX$61</f>
        <v>59694.403452310333</v>
      </c>
      <c r="AY55" s="263">
        <f>AX55*Indeksacja!AY$61</f>
        <v>60610.532888116686</v>
      </c>
      <c r="AZ55" s="263">
        <f>AY55*Indeksacja!AZ$61</f>
        <v>61532.634817405582</v>
      </c>
      <c r="BA55" s="263">
        <f>AZ55*Indeksacja!BA$61</f>
        <v>62468.765198969726</v>
      </c>
      <c r="BB55" s="263">
        <f>BA55*Indeksacja!BB$61</f>
        <v>63419.137455498072</v>
      </c>
      <c r="BC55" s="263">
        <f>BB55*Indeksacja!BC$61</f>
        <v>64383.968256598288</v>
      </c>
      <c r="BD55" s="263">
        <f>BC55*Indeksacja!BD$61</f>
        <v>65363.477568193935</v>
      </c>
      <c r="BE55" s="263">
        <f>BD55*Indeksacja!BE$61</f>
        <v>66410.438202859601</v>
      </c>
      <c r="BF55" s="263">
        <f>BE55*Indeksacja!BF$61</f>
        <v>67474.168547634341</v>
      </c>
      <c r="BG55" s="263">
        <f>BF55*Indeksacja!BG$61</f>
        <v>68554.937211640427</v>
      </c>
      <c r="BH55" s="263">
        <f>BG55*Indeksacja!BH$61</f>
        <v>69708.132406613135</v>
      </c>
      <c r="BI55" s="263">
        <f>BH55*Indeksacja!BI$61</f>
        <v>70880.72604627558</v>
      </c>
    </row>
    <row r="56" spans="1:61" ht="18">
      <c r="A56" s="270" t="s">
        <v>141</v>
      </c>
      <c r="B56" s="271"/>
      <c r="C56" s="272"/>
      <c r="D56" s="272"/>
      <c r="E56" s="272"/>
      <c r="F56" s="272"/>
      <c r="G56" s="272"/>
      <c r="H56" s="272"/>
      <c r="I56" s="272"/>
      <c r="J56" s="272"/>
      <c r="K56" s="272"/>
      <c r="L56" s="272"/>
      <c r="M56" s="272"/>
      <c r="N56" s="272"/>
      <c r="O56" s="272"/>
      <c r="P56" s="272"/>
      <c r="Q56" s="273">
        <f>S15*$B$35*$Q$38*$Q$42/100</f>
        <v>43742.825279999997</v>
      </c>
      <c r="R56" s="274">
        <f>Q56*Indeksacja!R$61</f>
        <v>46330.974018961766</v>
      </c>
      <c r="S56" s="275">
        <f>R56*Indeksacja!S$61</f>
        <v>49106.982822627237</v>
      </c>
      <c r="T56" s="275">
        <f>S56*Indeksacja!T$61</f>
        <v>52126.736246701643</v>
      </c>
      <c r="U56" s="275">
        <f>T56*Indeksacja!U$61</f>
        <v>52947.506674155651</v>
      </c>
      <c r="V56" s="275">
        <f>U56*Indeksacja!V$61</f>
        <v>58287.139765187327</v>
      </c>
      <c r="W56" s="275">
        <f>V56*Indeksacja!W$61</f>
        <v>60151.937517846221</v>
      </c>
      <c r="X56" s="275">
        <f>W56*Indeksacja!X$61</f>
        <v>61795.073621346724</v>
      </c>
      <c r="Y56" s="275">
        <f>X56*Indeksacja!Y$61</f>
        <v>63392.911948779787</v>
      </c>
      <c r="Z56" s="275">
        <f>Y56*Indeksacja!Z$61</f>
        <v>65092.301051471331</v>
      </c>
      <c r="AA56" s="275">
        <f>Z56*Indeksacja!AA$61</f>
        <v>66794.770975208623</v>
      </c>
      <c r="AB56" s="275">
        <f>AA56*Indeksacja!AB$61</f>
        <v>68551.811486643957</v>
      </c>
      <c r="AC56" s="275">
        <f>AB56*Indeksacja!AC$61</f>
        <v>70310.304914091073</v>
      </c>
      <c r="AD56" s="275">
        <f>AC56*Indeksacja!AD$61</f>
        <v>72067.730905499731</v>
      </c>
      <c r="AE56" s="275">
        <f>AD56*Indeksacja!AE$61</f>
        <v>73821.409501060843</v>
      </c>
      <c r="AF56" s="275">
        <f>AE56*Indeksacja!AF$61</f>
        <v>75629.456772404563</v>
      </c>
      <c r="AG56" s="275">
        <f>AF56*Indeksacja!AG$61</f>
        <v>77432.317935509811</v>
      </c>
      <c r="AH56" s="275">
        <f>AG56*Indeksacja!AH$61</f>
        <v>79288.833998837377</v>
      </c>
      <c r="AI56" s="275">
        <f>AH56*Indeksacja!AI$61</f>
        <v>81136.120367435302</v>
      </c>
      <c r="AJ56" s="275">
        <f>AI56*Indeksacja!AJ$61</f>
        <v>82970.157752748288</v>
      </c>
      <c r="AK56" s="275">
        <f>AJ56*Indeksacja!AK$61</f>
        <v>84788.01601539657</v>
      </c>
      <c r="AL56" s="275">
        <f>AK56*Indeksacja!AL$61</f>
        <v>86585.685506528316</v>
      </c>
      <c r="AM56" s="275">
        <f>AL56*Indeksacja!AM$61</f>
        <v>88359.093176766633</v>
      </c>
      <c r="AN56" s="275">
        <f>AM56*Indeksacja!AN$61</f>
        <v>90103.997742617241</v>
      </c>
      <c r="AO56" s="275">
        <f>AN56*Indeksacja!AO$61</f>
        <v>91889.114247361009</v>
      </c>
      <c r="AP56" s="275">
        <f>AO56*Indeksacja!AP$61</f>
        <v>93566.425513388531</v>
      </c>
      <c r="AQ56" s="275">
        <f>AP56*Indeksacja!AQ$61</f>
        <v>95278.939417585876</v>
      </c>
      <c r="AR56" s="275">
        <f>AQ56*Indeksacja!AR$61</f>
        <v>97026.736092531588</v>
      </c>
      <c r="AS56" s="275">
        <f>AR56*Indeksacja!AS$61</f>
        <v>98732.647494808727</v>
      </c>
      <c r="AT56" s="275">
        <f>AS56*Indeksacja!AT$61</f>
        <v>100392.94772605618</v>
      </c>
      <c r="AU56" s="275">
        <f>AT56*Indeksacja!AU$61</f>
        <v>102003.95590361636</v>
      </c>
      <c r="AV56" s="275">
        <f>AU56*Indeksacja!AV$61</f>
        <v>103644.40990608637</v>
      </c>
      <c r="AW56" s="275">
        <f>AV56*Indeksacja!AW$61</f>
        <v>105314.03751312334</v>
      </c>
      <c r="AX56" s="275">
        <f>AW56*Indeksacja!AX$61</f>
        <v>107013.13789621483</v>
      </c>
      <c r="AY56" s="275">
        <f>AX56*Indeksacja!AY$61</f>
        <v>108655.46749455061</v>
      </c>
      <c r="AZ56" s="275">
        <f>AY56*Indeksacja!AZ$61</f>
        <v>110308.50387998315</v>
      </c>
      <c r="BA56" s="275">
        <f>AZ56*Indeksacja!BA$61</f>
        <v>111986.68883229936</v>
      </c>
      <c r="BB56" s="275">
        <f>BA56*Indeksacja!BB$61</f>
        <v>113690.40495070994</v>
      </c>
      <c r="BC56" s="275">
        <f>BB56*Indeksacja!BC$61</f>
        <v>115420.04065512131</v>
      </c>
      <c r="BD56" s="275">
        <f>BC56*Indeksacja!BD$61</f>
        <v>117175.99027468912</v>
      </c>
      <c r="BE56" s="275">
        <f>BD56*Indeksacja!BE$61</f>
        <v>119052.85872951658</v>
      </c>
      <c r="BF56" s="275">
        <f>BE56*Indeksacja!BF$61</f>
        <v>120959.78995734446</v>
      </c>
      <c r="BG56" s="275">
        <f>BF56*Indeksacja!BG$61</f>
        <v>122897.26548916026</v>
      </c>
      <c r="BH56" s="275">
        <f>BG56*Indeksacja!BH$61</f>
        <v>124964.57882648939</v>
      </c>
      <c r="BI56" s="275">
        <f>BH56*Indeksacja!BI$61</f>
        <v>127066.66742442086</v>
      </c>
    </row>
    <row r="57" spans="1:61" ht="18">
      <c r="A57" s="276" t="s">
        <v>142</v>
      </c>
      <c r="B57" s="277"/>
      <c r="C57" s="278"/>
      <c r="D57" s="278"/>
      <c r="E57" s="278"/>
      <c r="F57" s="278"/>
      <c r="G57" s="278"/>
      <c r="H57" s="278"/>
      <c r="I57" s="278"/>
      <c r="J57" s="278"/>
      <c r="K57" s="278"/>
      <c r="L57" s="278"/>
      <c r="M57" s="278"/>
      <c r="N57" s="278"/>
      <c r="O57" s="278"/>
      <c r="P57" s="278"/>
      <c r="Q57" s="279">
        <f>T15*$B$35*$Q$38*$Q$42/100</f>
        <v>26483.751360000006</v>
      </c>
      <c r="R57" s="280">
        <f>Q57*Indeksacja!R$61</f>
        <v>28050.725766582298</v>
      </c>
      <c r="S57" s="281">
        <f>R57*Indeksacja!S$61</f>
        <v>29731.438579685884</v>
      </c>
      <c r="T57" s="281">
        <f>S57*Indeksacja!T$61</f>
        <v>31559.724666370388</v>
      </c>
      <c r="U57" s="281">
        <f>T57*Indeksacja!U$61</f>
        <v>32056.653700679279</v>
      </c>
      <c r="V57" s="281">
        <f>U57*Indeksacja!V$61</f>
        <v>35289.492783004578</v>
      </c>
      <c r="W57" s="281">
        <f>V57*Indeksacja!W$61</f>
        <v>36418.519993798058</v>
      </c>
      <c r="X57" s="281">
        <f>W57*Indeksacja!X$61</f>
        <v>37413.343893196325</v>
      </c>
      <c r="Y57" s="281">
        <f>X57*Indeksacja!Y$61</f>
        <v>38380.742608444911</v>
      </c>
      <c r="Z57" s="281">
        <f>Y57*Indeksacja!Z$61</f>
        <v>39409.62444612891</v>
      </c>
      <c r="AA57" s="281">
        <f>Z57*Indeksacja!AA$61</f>
        <v>40440.371542813387</v>
      </c>
      <c r="AB57" s="281">
        <f>AA57*Indeksacja!AB$61</f>
        <v>41504.157974906884</v>
      </c>
      <c r="AC57" s="281">
        <f>AB57*Indeksacja!AC$61</f>
        <v>42568.824063633372</v>
      </c>
      <c r="AD57" s="281">
        <f>AC57*Indeksacja!AD$61</f>
        <v>43632.843881561064</v>
      </c>
      <c r="AE57" s="281">
        <f>AD57*Indeksacja!AE$61</f>
        <v>44694.594867989224</v>
      </c>
      <c r="AF57" s="281">
        <f>AE57*Indeksacja!AF$61</f>
        <v>45789.262943836788</v>
      </c>
      <c r="AG57" s="281">
        <f>AF57*Indeksacja!AG$61</f>
        <v>46880.791131022961</v>
      </c>
      <c r="AH57" s="281">
        <f>AG57*Indeksacja!AH$61</f>
        <v>48004.804257799507</v>
      </c>
      <c r="AI57" s="281">
        <f>AH57*Indeksacja!AI$61</f>
        <v>49123.229338107099</v>
      </c>
      <c r="AJ57" s="281">
        <f>AI57*Indeksacja!AJ$61</f>
        <v>50233.63292513333</v>
      </c>
      <c r="AK57" s="281">
        <f>AJ57*Indeksacja!AK$61</f>
        <v>51334.240988913582</v>
      </c>
      <c r="AL57" s="281">
        <f>AK57*Indeksacja!AL$61</f>
        <v>52422.625918918515</v>
      </c>
      <c r="AM57" s="281">
        <f>AL57*Indeksacja!AM$61</f>
        <v>53496.321719266889</v>
      </c>
      <c r="AN57" s="281">
        <f>AM57*Indeksacja!AN$61</f>
        <v>54552.760538047187</v>
      </c>
      <c r="AO57" s="281">
        <f>AN57*Indeksacja!AO$61</f>
        <v>55633.545360647149</v>
      </c>
      <c r="AP57" s="281">
        <f>AO57*Indeksacja!AP$61</f>
        <v>56649.060344840684</v>
      </c>
      <c r="AQ57" s="281">
        <f>AP57*Indeksacja!AQ$61</f>
        <v>57685.888490919344</v>
      </c>
      <c r="AR57" s="281">
        <f>AQ57*Indeksacja!AR$61</f>
        <v>58744.078314525934</v>
      </c>
      <c r="AS57" s="281">
        <f>AR57*Indeksacja!AS$61</f>
        <v>59776.909027469243</v>
      </c>
      <c r="AT57" s="281">
        <f>AS57*Indeksacja!AT$61</f>
        <v>60782.124813734707</v>
      </c>
      <c r="AU57" s="281">
        <f>AT57*Indeksacja!AU$61</f>
        <v>61757.497111713317</v>
      </c>
      <c r="AV57" s="281">
        <f>AU57*Indeksacja!AV$61</f>
        <v>62750.697154025096</v>
      </c>
      <c r="AW57" s="281">
        <f>AV57*Indeksacja!AW$61</f>
        <v>63761.56012699307</v>
      </c>
      <c r="AX57" s="281">
        <f>AW57*Indeksacja!AX$61</f>
        <v>64790.267161653908</v>
      </c>
      <c r="AY57" s="281">
        <f>AX57*Indeksacja!AY$61</f>
        <v>65784.602768809593</v>
      </c>
      <c r="AZ57" s="281">
        <f>AY57*Indeksacja!AZ$61</f>
        <v>66785.420716452427</v>
      </c>
      <c r="BA57" s="281">
        <f>AZ57*Indeksacja!BA$61</f>
        <v>67801.464667174485</v>
      </c>
      <c r="BB57" s="281">
        <f>BA57*Indeksacja!BB$61</f>
        <v>68832.966262674774</v>
      </c>
      <c r="BC57" s="281">
        <f>BB57*Indeksacja!BC$61</f>
        <v>69880.160668746961</v>
      </c>
      <c r="BD57" s="281">
        <f>BC57*Indeksacja!BD$61</f>
        <v>70943.28662889346</v>
      </c>
      <c r="BE57" s="281">
        <f>BD57*Indeksacja!BE$61</f>
        <v>72079.621951884241</v>
      </c>
      <c r="BF57" s="281">
        <f>BE57*Indeksacja!BF$61</f>
        <v>73234.158545603161</v>
      </c>
      <c r="BG57" s="281">
        <f>BF57*Indeksacja!BG$61</f>
        <v>74407.187949219529</v>
      </c>
      <c r="BH57" s="281">
        <f>BG57*Indeksacja!BH$61</f>
        <v>75658.826636446014</v>
      </c>
      <c r="BI57" s="281">
        <f>BH57*Indeksacja!BI$61</f>
        <v>76931.519733152818</v>
      </c>
    </row>
    <row r="58" spans="1:61" ht="18">
      <c r="A58" s="270" t="s">
        <v>178</v>
      </c>
      <c r="B58" s="271"/>
      <c r="C58" s="272"/>
      <c r="D58" s="272"/>
      <c r="E58" s="272"/>
      <c r="F58" s="272"/>
      <c r="G58" s="272"/>
      <c r="H58" s="272"/>
      <c r="I58" s="272"/>
      <c r="J58" s="272"/>
      <c r="K58" s="272"/>
      <c r="L58" s="272"/>
      <c r="M58" s="272"/>
      <c r="N58" s="272"/>
      <c r="O58" s="272"/>
      <c r="P58" s="272"/>
      <c r="Q58" s="273">
        <f>U15*$B$35*$Q$38*$Q$42/100</f>
        <v>839148.07679999992</v>
      </c>
      <c r="R58" s="274">
        <f>Q58*Indeksacja!R$61</f>
        <v>888798.27709845011</v>
      </c>
      <c r="S58" s="275">
        <f>R58*Indeksacja!S$61</f>
        <v>942052.32353611419</v>
      </c>
      <c r="T58" s="275">
        <f>S58*Indeksacja!T$61</f>
        <v>999982.28718162316</v>
      </c>
      <c r="U58" s="275">
        <f>T58*Indeksacja!U$61</f>
        <v>1015727.6790552307</v>
      </c>
      <c r="V58" s="275">
        <f>U58*Indeksacja!V$61</f>
        <v>1118161.45671992</v>
      </c>
      <c r="W58" s="275">
        <f>V58*Indeksacja!W$61</f>
        <v>1153935.1278933764</v>
      </c>
      <c r="X58" s="275">
        <f>W58*Indeksacja!X$61</f>
        <v>1185456.5143686922</v>
      </c>
      <c r="Y58" s="275">
        <f>X58*Indeksacja!Y$61</f>
        <v>1216108.9230990408</v>
      </c>
      <c r="Z58" s="275">
        <f>Y58*Indeksacja!Z$61</f>
        <v>1248709.4487425112</v>
      </c>
      <c r="AA58" s="275">
        <f>Z58*Indeksacja!AA$61</f>
        <v>1281369.0758509408</v>
      </c>
      <c r="AB58" s="275">
        <f>AA58*Indeksacja!AB$61</f>
        <v>1315075.5672948023</v>
      </c>
      <c r="AC58" s="275">
        <f>AB58*Indeksacja!AC$61</f>
        <v>1348809.9310050125</v>
      </c>
      <c r="AD58" s="275">
        <f>AC58*Indeksacja!AD$61</f>
        <v>1382523.8173708112</v>
      </c>
      <c r="AE58" s="275">
        <f>AD58*Indeksacja!AE$61</f>
        <v>1416165.8149183101</v>
      </c>
      <c r="AF58" s="275">
        <f>AE58*Indeksacja!AF$61</f>
        <v>1450850.8033889856</v>
      </c>
      <c r="AG58" s="275">
        <f>AF58*Indeksacja!AG$61</f>
        <v>1485436.3032526374</v>
      </c>
      <c r="AH58" s="275">
        <f>AG58*Indeksacja!AH$61</f>
        <v>1521051.1012021864</v>
      </c>
      <c r="AI58" s="275">
        <f>AH58*Indeksacja!AI$61</f>
        <v>1556488.8397018202</v>
      </c>
      <c r="AJ58" s="275">
        <f>AI58*Indeksacja!AJ$61</f>
        <v>1591672.4140323142</v>
      </c>
      <c r="AK58" s="275">
        <f>AJ58*Indeksacja!AK$61</f>
        <v>1626545.6133565875</v>
      </c>
      <c r="AL58" s="275">
        <f>AK58*Indeksacja!AL$61</f>
        <v>1661031.5178803394</v>
      </c>
      <c r="AM58" s="275">
        <f>AL58*Indeksacja!AM$61</f>
        <v>1695051.9915542991</v>
      </c>
      <c r="AN58" s="275">
        <f>AM58*Indeksacja!AN$61</f>
        <v>1728525.6709808209</v>
      </c>
      <c r="AO58" s="275">
        <f>AN58*Indeksacja!AO$61</f>
        <v>1762770.76311264</v>
      </c>
      <c r="AP58" s="275">
        <f>AO58*Indeksacja!AP$61</f>
        <v>1794947.7547466373</v>
      </c>
      <c r="AQ58" s="275">
        <f>AP58*Indeksacja!AQ$61</f>
        <v>1827800.0622965454</v>
      </c>
      <c r="AR58" s="275">
        <f>AQ58*Indeksacja!AR$61</f>
        <v>1861329.2229995856</v>
      </c>
      <c r="AS58" s="275">
        <f>AR58*Indeksacja!AS$61</f>
        <v>1894054.8703085757</v>
      </c>
      <c r="AT58" s="275">
        <f>AS58*Indeksacja!AT$61</f>
        <v>1925905.5278059759</v>
      </c>
      <c r="AU58" s="275">
        <f>AT58*Indeksacja!AU$61</f>
        <v>1956810.5826408037</v>
      </c>
      <c r="AV58" s="275">
        <f>AU58*Indeksacja!AV$61</f>
        <v>1988280.5165657387</v>
      </c>
      <c r="AW58" s="275">
        <f>AV58*Indeksacja!AW$61</f>
        <v>2020310.1073946115</v>
      </c>
      <c r="AX58" s="275">
        <f>AW58*Indeksacja!AX$61</f>
        <v>2052905.0943355502</v>
      </c>
      <c r="AY58" s="275">
        <f>AX58*Indeksacja!AY$61</f>
        <v>2084411.0090791346</v>
      </c>
      <c r="AZ58" s="275">
        <f>AY58*Indeksacja!AZ$61</f>
        <v>2116122.3193302895</v>
      </c>
      <c r="BA58" s="275">
        <f>AZ58*Indeksacja!BA$61</f>
        <v>2148316.0714767636</v>
      </c>
      <c r="BB58" s="275">
        <f>BA58*Indeksacja!BB$61</f>
        <v>2180999.6051768847</v>
      </c>
      <c r="BC58" s="275">
        <f>BB58*Indeksacja!BC$61</f>
        <v>2214180.3717513066</v>
      </c>
      <c r="BD58" s="275">
        <f>BC58*Indeksacja!BD$61</f>
        <v>2247865.9358817912</v>
      </c>
      <c r="BE58" s="275">
        <f>BD58*Indeksacja!BE$61</f>
        <v>2283871.1674641958</v>
      </c>
      <c r="BF58" s="275">
        <f>BE58*Indeksacja!BF$61</f>
        <v>2320453.1134674246</v>
      </c>
      <c r="BG58" s="275">
        <f>BF58*Indeksacja!BG$61</f>
        <v>2357621.0114247072</v>
      </c>
      <c r="BH58" s="275">
        <f>BG58*Indeksacja!BH$61</f>
        <v>2397279.6754469397</v>
      </c>
      <c r="BI58" s="275">
        <f>BH58*Indeksacja!BI$61</f>
        <v>2437605.4567133798</v>
      </c>
    </row>
    <row r="59" spans="1:61" ht="18">
      <c r="A59" s="303" t="s">
        <v>143</v>
      </c>
      <c r="B59" s="304"/>
      <c r="C59" s="305"/>
      <c r="D59" s="305"/>
      <c r="E59" s="305"/>
      <c r="F59" s="305"/>
      <c r="G59" s="305"/>
      <c r="H59" s="305"/>
      <c r="I59" s="305"/>
      <c r="J59" s="305"/>
      <c r="K59" s="305"/>
      <c r="L59" s="305"/>
      <c r="M59" s="305"/>
      <c r="N59" s="305"/>
      <c r="O59" s="305"/>
      <c r="P59" s="305"/>
      <c r="Q59" s="306">
        <f>V15*$B$35*$Q$38*$Q$42/100</f>
        <v>270788.91840000002</v>
      </c>
      <c r="R59" s="307">
        <f>Q59*Indeksacja!R$61</f>
        <v>286810.79154595383</v>
      </c>
      <c r="S59" s="308">
        <f>R59*Indeksacja!S$61</f>
        <v>303995.60794959724</v>
      </c>
      <c r="T59" s="308">
        <f>S59*Indeksacja!T$61</f>
        <v>322689.31962243881</v>
      </c>
      <c r="U59" s="308">
        <f>T59*Indeksacja!U$61</f>
        <v>327770.27941143984</v>
      </c>
      <c r="V59" s="308">
        <f>U59*Indeksacja!V$61</f>
        <v>360825.15092735022</v>
      </c>
      <c r="W59" s="308">
        <f>V59*Indeksacja!W$61</f>
        <v>372369.13701523864</v>
      </c>
      <c r="X59" s="308">
        <f>W59*Indeksacja!X$61</f>
        <v>382540.93194167037</v>
      </c>
      <c r="Y59" s="308">
        <f>X59*Indeksacja!Y$61</f>
        <v>392432.31206387503</v>
      </c>
      <c r="Z59" s="308">
        <f>Y59*Indeksacja!Z$61</f>
        <v>402952.33984244172</v>
      </c>
      <c r="AA59" s="308">
        <f>Z59*Indeksacja!AA$61</f>
        <v>413491.43937033921</v>
      </c>
      <c r="AB59" s="308">
        <f>AA59*Indeksacja!AB$61</f>
        <v>424368.35682208173</v>
      </c>
      <c r="AC59" s="308">
        <f>AB59*Indeksacja!AC$61</f>
        <v>435254.26851580199</v>
      </c>
      <c r="AD59" s="308">
        <f>AC59*Indeksacja!AD$61</f>
        <v>446133.57227214135</v>
      </c>
      <c r="AE59" s="308">
        <f>AD59*Indeksacja!AE$61</f>
        <v>456989.67786371015</v>
      </c>
      <c r="AF59" s="308">
        <f>AE59*Indeksacja!AF$61</f>
        <v>468182.35144821892</v>
      </c>
      <c r="AG59" s="308">
        <f>AF59*Indeksacja!AG$61</f>
        <v>479342.92055315623</v>
      </c>
      <c r="AH59" s="308">
        <f>AG59*Indeksacja!AH$61</f>
        <v>490835.6390404221</v>
      </c>
      <c r="AI59" s="308">
        <f>AH59*Indeksacja!AI$61</f>
        <v>502271.22132221883</v>
      </c>
      <c r="AJ59" s="308">
        <f>AI59*Indeksacja!AJ$61</f>
        <v>513624.78608844208</v>
      </c>
      <c r="AK59" s="308">
        <f>AJ59*Indeksacja!AK$61</f>
        <v>524878.19438102667</v>
      </c>
      <c r="AL59" s="308">
        <f>AK59*Indeksacja!AL$61</f>
        <v>536006.62456422322</v>
      </c>
      <c r="AM59" s="308">
        <f>AL59*Indeksacja!AM$61</f>
        <v>546984.86252284143</v>
      </c>
      <c r="AN59" s="308">
        <f>AM59*Indeksacja!AN$61</f>
        <v>557786.65269239282</v>
      </c>
      <c r="AO59" s="308">
        <f>AN59*Indeksacja!AO$61</f>
        <v>568837.37391223514</v>
      </c>
      <c r="AP59" s="308">
        <f>AO59*Indeksacja!AP$61</f>
        <v>579220.72936859599</v>
      </c>
      <c r="AQ59" s="308">
        <f>AP59*Indeksacja!AQ$61</f>
        <v>589822.00591838907</v>
      </c>
      <c r="AR59" s="308">
        <f>AQ59*Indeksacja!AR$61</f>
        <v>600641.69962043397</v>
      </c>
      <c r="AS59" s="308">
        <f>AR59*Indeksacja!AS$61</f>
        <v>611202.10353929247</v>
      </c>
      <c r="AT59" s="308">
        <f>AS59*Indeksacja!AT$61</f>
        <v>621480.15258987201</v>
      </c>
      <c r="AU59" s="308">
        <f>AT59*Indeksacja!AU$61</f>
        <v>631453.06035572069</v>
      </c>
      <c r="AV59" s="308">
        <f>AU59*Indeksacja!AV$61</f>
        <v>641608.25179958274</v>
      </c>
      <c r="AW59" s="308">
        <f>AV59*Indeksacja!AW$61</f>
        <v>651944.04174790694</v>
      </c>
      <c r="AX59" s="308">
        <f>AW59*Indeksacja!AX$61</f>
        <v>662462.28221466381</v>
      </c>
      <c r="AY59" s="308">
        <f>AX59*Indeksacja!AY$61</f>
        <v>672629.08449007582</v>
      </c>
      <c r="AZ59" s="308">
        <f>AY59*Indeksacja!AZ$61</f>
        <v>682862.16687608673</v>
      </c>
      <c r="BA59" s="308">
        <f>AZ59*Indeksacja!BA$61</f>
        <v>693250.93086661573</v>
      </c>
      <c r="BB59" s="308">
        <f>BA59*Indeksacja!BB$61</f>
        <v>703797.74493296689</v>
      </c>
      <c r="BC59" s="308">
        <f>BB59*Indeksacja!BC$61</f>
        <v>714505.01357932296</v>
      </c>
      <c r="BD59" s="308">
        <f>BC59*Indeksacja!BD$61</f>
        <v>725375.17789093324</v>
      </c>
      <c r="BE59" s="308">
        <f>BD59*Indeksacja!BE$61</f>
        <v>736993.88737319852</v>
      </c>
      <c r="BF59" s="308">
        <f>BE59*Indeksacja!BF$61</f>
        <v>748798.69973594253</v>
      </c>
      <c r="BG59" s="308">
        <f>BF59*Indeksacja!BG$61</f>
        <v>760792.59588527842</v>
      </c>
      <c r="BH59" s="308">
        <f>BG59*Indeksacja!BH$61</f>
        <v>773590.24987826834</v>
      </c>
      <c r="BI59" s="308">
        <f>BH59*Indeksacja!BI$61</f>
        <v>786603.17929403449</v>
      </c>
    </row>
    <row r="60" spans="1:61" ht="18">
      <c r="A60" s="276" t="s">
        <v>144</v>
      </c>
      <c r="B60" s="277"/>
      <c r="C60" s="278"/>
      <c r="D60" s="278"/>
      <c r="E60" s="278"/>
      <c r="F60" s="278"/>
      <c r="G60" s="278"/>
      <c r="H60" s="278"/>
      <c r="I60" s="278"/>
      <c r="J60" s="278"/>
      <c r="K60" s="278"/>
      <c r="L60" s="278"/>
      <c r="M60" s="278"/>
      <c r="N60" s="278"/>
      <c r="O60" s="278"/>
      <c r="P60" s="278"/>
      <c r="Q60" s="279">
        <f>W15*$B$35*$Q$38*$Q$42/100</f>
        <v>154736.52480000001</v>
      </c>
      <c r="R60" s="280">
        <f>Q60*Indeksacja!R$61</f>
        <v>163891.88088340219</v>
      </c>
      <c r="S60" s="281">
        <f>R60*Indeksacja!S$61</f>
        <v>173711.77597119843</v>
      </c>
      <c r="T60" s="281">
        <f>S60*Indeksacja!T$61</f>
        <v>184393.89692710788</v>
      </c>
      <c r="U60" s="281">
        <f>T60*Indeksacja!U$61</f>
        <v>187297.30252082273</v>
      </c>
      <c r="V60" s="281">
        <f>U60*Indeksacja!V$61</f>
        <v>206185.80052991438</v>
      </c>
      <c r="W60" s="281">
        <f>V60*Indeksacja!W$61</f>
        <v>212782.36400870775</v>
      </c>
      <c r="X60" s="281">
        <f>W60*Indeksacja!X$61</f>
        <v>218594.818252383</v>
      </c>
      <c r="Y60" s="281">
        <f>X60*Indeksacja!Y$61</f>
        <v>224247.03546507139</v>
      </c>
      <c r="Z60" s="281">
        <f>Y60*Indeksacja!Z$61</f>
        <v>230258.47990996664</v>
      </c>
      <c r="AA60" s="281">
        <f>Z60*Indeksacja!AA$61</f>
        <v>236280.82249733663</v>
      </c>
      <c r="AB60" s="281">
        <f>AA60*Indeksacja!AB$61</f>
        <v>242496.20389833234</v>
      </c>
      <c r="AC60" s="281">
        <f>AB60*Indeksacja!AC$61</f>
        <v>248716.7248661725</v>
      </c>
      <c r="AD60" s="281">
        <f>AC60*Indeksacja!AD$61</f>
        <v>254933.46986979499</v>
      </c>
      <c r="AE60" s="281">
        <f>AD60*Indeksacja!AE$61</f>
        <v>261136.95877926287</v>
      </c>
      <c r="AF60" s="281">
        <f>AE60*Indeksacja!AF$61</f>
        <v>267532.772256125</v>
      </c>
      <c r="AG60" s="281">
        <f>AF60*Indeksacja!AG$61</f>
        <v>273910.24031608918</v>
      </c>
      <c r="AH60" s="281">
        <f>AG60*Indeksacja!AH$61</f>
        <v>280477.50802309823</v>
      </c>
      <c r="AI60" s="281">
        <f>AH60*Indeksacja!AI$61</f>
        <v>287012.12646983919</v>
      </c>
      <c r="AJ60" s="281">
        <f>AI60*Indeksacja!AJ$61</f>
        <v>293499.8777648239</v>
      </c>
      <c r="AK60" s="281">
        <f>AJ60*Indeksacja!AK$61</f>
        <v>299930.396789158</v>
      </c>
      <c r="AL60" s="281">
        <f>AK60*Indeksacja!AL$61</f>
        <v>306289.4997509846</v>
      </c>
      <c r="AM60" s="281">
        <f>AL60*Indeksacja!AM$61</f>
        <v>312562.77858448069</v>
      </c>
      <c r="AN60" s="281">
        <f>AM60*Indeksacja!AN$61</f>
        <v>318735.23010993859</v>
      </c>
      <c r="AO60" s="281">
        <f>AN60*Indeksacja!AO$61</f>
        <v>325049.92794984853</v>
      </c>
      <c r="AP60" s="281">
        <f>AO60*Indeksacja!AP$61</f>
        <v>330983.27392491186</v>
      </c>
      <c r="AQ60" s="281">
        <f>AP60*Indeksacja!AQ$61</f>
        <v>337041.1462390793</v>
      </c>
      <c r="AR60" s="281">
        <f>AQ60*Indeksacja!AR$61</f>
        <v>343223.82835453353</v>
      </c>
      <c r="AS60" s="281">
        <f>AR60*Indeksacja!AS$61</f>
        <v>349258.34487959556</v>
      </c>
      <c r="AT60" s="281">
        <f>AS60*Indeksacja!AT$61</f>
        <v>355131.515765641</v>
      </c>
      <c r="AU60" s="281">
        <f>AT60*Indeksacja!AU$61</f>
        <v>360830.32020326884</v>
      </c>
      <c r="AV60" s="281">
        <f>AU60*Indeksacja!AV$61</f>
        <v>366633.28674261854</v>
      </c>
      <c r="AW60" s="281">
        <f>AV60*Indeksacja!AW$61</f>
        <v>372539.45242737525</v>
      </c>
      <c r="AX60" s="281">
        <f>AW60*Indeksacja!AX$61</f>
        <v>378549.87555123633</v>
      </c>
      <c r="AY60" s="281">
        <f>AX60*Indeksacja!AY$61</f>
        <v>384359.47685147176</v>
      </c>
      <c r="AZ60" s="281">
        <f>AY60*Indeksacja!AZ$61</f>
        <v>390206.95250062086</v>
      </c>
      <c r="BA60" s="281">
        <f>AZ60*Indeksacja!BA$61</f>
        <v>396143.38906663738</v>
      </c>
      <c r="BB60" s="281">
        <f>BA60*Indeksacja!BB$61</f>
        <v>402170.13996169518</v>
      </c>
      <c r="BC60" s="281">
        <f>BB60*Indeksacja!BC$61</f>
        <v>408288.57918818435</v>
      </c>
      <c r="BD60" s="281">
        <f>BC60*Indeksacja!BD$61</f>
        <v>414500.10165196162</v>
      </c>
      <c r="BE60" s="281">
        <f>BD60*Indeksacja!BE$61</f>
        <v>421139.36421325605</v>
      </c>
      <c r="BF60" s="281">
        <f>BE60*Indeksacja!BF$61</f>
        <v>427884.97127768118</v>
      </c>
      <c r="BG60" s="281">
        <f>BF60*Indeksacja!BG$61</f>
        <v>434738.62622015883</v>
      </c>
      <c r="BH60" s="281">
        <f>BG60*Indeksacja!BH$61</f>
        <v>442051.57135901018</v>
      </c>
      <c r="BI60" s="281">
        <f>BH60*Indeksacja!BI$61</f>
        <v>449487.53102516226</v>
      </c>
    </row>
    <row r="61" spans="1:61" ht="18">
      <c r="A61" s="265" t="s">
        <v>145</v>
      </c>
      <c r="B61" s="266"/>
      <c r="C61" s="264"/>
      <c r="D61" s="264"/>
      <c r="E61" s="264"/>
      <c r="F61" s="264"/>
      <c r="G61" s="264"/>
      <c r="H61" s="264"/>
      <c r="I61" s="264"/>
      <c r="J61" s="264"/>
      <c r="K61" s="264"/>
      <c r="L61" s="264"/>
      <c r="M61" s="264"/>
      <c r="N61" s="264"/>
      <c r="O61" s="264"/>
      <c r="P61" s="264"/>
      <c r="Q61" s="267">
        <f>X15*$B$35*$Q$38*$Q$42/100</f>
        <v>15473.652480000001</v>
      </c>
      <c r="R61" s="268">
        <f>Q61*Indeksacja!R$61</f>
        <v>16389.188088340215</v>
      </c>
      <c r="S61" s="263">
        <f>R61*Indeksacja!S$61</f>
        <v>17371.177597119837</v>
      </c>
      <c r="T61" s="263">
        <f>S61*Indeksacja!T$61</f>
        <v>18439.389692710782</v>
      </c>
      <c r="U61" s="263">
        <f>T61*Indeksacja!U$61</f>
        <v>18729.730252082267</v>
      </c>
      <c r="V61" s="263">
        <f>U61*Indeksacja!V$61</f>
        <v>20618.58005299143</v>
      </c>
      <c r="W61" s="263">
        <f>V61*Indeksacja!W$61</f>
        <v>21278.236400870766</v>
      </c>
      <c r="X61" s="263">
        <f>W61*Indeksacja!X$61</f>
        <v>21859.481825238294</v>
      </c>
      <c r="Y61" s="263">
        <f>X61*Indeksacja!Y$61</f>
        <v>22424.703546507131</v>
      </c>
      <c r="Z61" s="263">
        <f>Y61*Indeksacja!Z$61</f>
        <v>23025.847990996659</v>
      </c>
      <c r="AA61" s="263">
        <f>Z61*Indeksacja!AA$61</f>
        <v>23628.082249733659</v>
      </c>
      <c r="AB61" s="263">
        <f>AA61*Indeksacja!AB$61</f>
        <v>24249.620389833231</v>
      </c>
      <c r="AC61" s="263">
        <f>AB61*Indeksacja!AC$61</f>
        <v>24871.672486617248</v>
      </c>
      <c r="AD61" s="263">
        <f>AC61*Indeksacja!AD$61</f>
        <v>25493.346986979497</v>
      </c>
      <c r="AE61" s="263">
        <f>AD61*Indeksacja!AE$61</f>
        <v>26113.695877926286</v>
      </c>
      <c r="AF61" s="263">
        <f>AE61*Indeksacja!AF$61</f>
        <v>26753.277225612499</v>
      </c>
      <c r="AG61" s="263">
        <f>AF61*Indeksacja!AG$61</f>
        <v>27391.024031608915</v>
      </c>
      <c r="AH61" s="263">
        <f>AG61*Indeksacja!AH$61</f>
        <v>28047.75080230982</v>
      </c>
      <c r="AI61" s="263">
        <f>AH61*Indeksacja!AI$61</f>
        <v>28701.212646983917</v>
      </c>
      <c r="AJ61" s="263">
        <f>AI61*Indeksacja!AJ$61</f>
        <v>29349.987776482387</v>
      </c>
      <c r="AK61" s="263">
        <f>AJ61*Indeksacja!AK$61</f>
        <v>29993.039678915793</v>
      </c>
      <c r="AL61" s="263">
        <f>AK61*Indeksacja!AL$61</f>
        <v>30628.949975098451</v>
      </c>
      <c r="AM61" s="263">
        <f>AL61*Indeksacja!AM$61</f>
        <v>31256.277858448062</v>
      </c>
      <c r="AN61" s="263">
        <f>AM61*Indeksacja!AN$61</f>
        <v>31873.523010993853</v>
      </c>
      <c r="AO61" s="263">
        <f>AN61*Indeksacja!AO$61</f>
        <v>32504.992794984842</v>
      </c>
      <c r="AP61" s="263">
        <f>AO61*Indeksacja!AP$61</f>
        <v>33098.327392491177</v>
      </c>
      <c r="AQ61" s="263">
        <f>AP61*Indeksacja!AQ$61</f>
        <v>33704.114623907924</v>
      </c>
      <c r="AR61" s="263">
        <f>AQ61*Indeksacja!AR$61</f>
        <v>34322.382835453347</v>
      </c>
      <c r="AS61" s="263">
        <f>AR61*Indeksacja!AS$61</f>
        <v>34925.834487959546</v>
      </c>
      <c r="AT61" s="263">
        <f>AS61*Indeksacja!AT$61</f>
        <v>35513.151576564087</v>
      </c>
      <c r="AU61" s="263">
        <f>AT61*Indeksacja!AU$61</f>
        <v>36083.032020326871</v>
      </c>
      <c r="AV61" s="263">
        <f>AU61*Indeksacja!AV$61</f>
        <v>36663.328674261844</v>
      </c>
      <c r="AW61" s="263">
        <f>AV61*Indeksacja!AW$61</f>
        <v>37253.945242737514</v>
      </c>
      <c r="AX61" s="263">
        <f>AW61*Indeksacja!AX$61</f>
        <v>37854.987555123618</v>
      </c>
      <c r="AY61" s="263">
        <f>AX61*Indeksacja!AY$61</f>
        <v>38435.947685147163</v>
      </c>
      <c r="AZ61" s="263">
        <f>AY61*Indeksacja!AZ$61</f>
        <v>39020.695250062076</v>
      </c>
      <c r="BA61" s="263">
        <f>AZ61*Indeksacja!BA$61</f>
        <v>39614.338906663732</v>
      </c>
      <c r="BB61" s="263">
        <f>BA61*Indeksacja!BB$61</f>
        <v>40217.013996169517</v>
      </c>
      <c r="BC61" s="263">
        <f>BB61*Indeksacja!BC$61</f>
        <v>40828.857918818438</v>
      </c>
      <c r="BD61" s="263">
        <f>BC61*Indeksacja!BD$61</f>
        <v>41450.010165196167</v>
      </c>
      <c r="BE61" s="263">
        <f>BD61*Indeksacja!BE$61</f>
        <v>42113.936421325612</v>
      </c>
      <c r="BF61" s="263">
        <f>BE61*Indeksacja!BF$61</f>
        <v>42788.497127768125</v>
      </c>
      <c r="BG61" s="263">
        <f>BF61*Indeksacja!BG$61</f>
        <v>43473.862622015891</v>
      </c>
      <c r="BH61" s="263">
        <f>BG61*Indeksacja!BH$61</f>
        <v>44205.157135901027</v>
      </c>
      <c r="BI61" s="263">
        <f>BH61*Indeksacja!BI$61</f>
        <v>44948.753102516239</v>
      </c>
    </row>
    <row r="62" spans="1:61" ht="15" customHeight="1">
      <c r="A62" s="699" t="s">
        <v>487</v>
      </c>
      <c r="B62" s="699"/>
      <c r="C62" s="699"/>
      <c r="D62" s="699"/>
      <c r="E62" s="699"/>
      <c r="F62" s="699"/>
      <c r="G62" s="699"/>
      <c r="H62" s="699"/>
      <c r="I62" s="699"/>
      <c r="J62" s="699"/>
      <c r="K62" s="699"/>
      <c r="L62" s="699"/>
      <c r="M62" s="699"/>
      <c r="N62" s="699"/>
      <c r="O62" s="699"/>
      <c r="P62" s="699"/>
      <c r="Q62" s="699"/>
    </row>
    <row r="63" spans="1:61" s="516" customFormat="1" ht="15" customHeight="1">
      <c r="A63" s="645"/>
      <c r="B63" s="645"/>
      <c r="C63" s="645"/>
      <c r="D63" s="645"/>
      <c r="E63" s="645"/>
      <c r="F63" s="645"/>
      <c r="G63" s="645"/>
      <c r="H63" s="645"/>
      <c r="I63" s="645"/>
      <c r="J63" s="645"/>
      <c r="K63" s="645"/>
      <c r="L63" s="645"/>
      <c r="M63" s="645"/>
      <c r="N63" s="645"/>
      <c r="O63" s="645"/>
      <c r="P63" s="645"/>
      <c r="Q63" s="645"/>
    </row>
    <row r="64" spans="1:61" s="421" customFormat="1" ht="15" customHeight="1">
      <c r="A64" s="421" t="s">
        <v>488</v>
      </c>
    </row>
    <row r="65" spans="1:1" s="421" customFormat="1" ht="15" customHeight="1">
      <c r="A65" s="421" t="s">
        <v>489</v>
      </c>
    </row>
    <row r="66" spans="1:1" ht="15" customHeight="1"/>
    <row r="67" spans="1:1" ht="15" hidden="1" customHeight="1"/>
    <row r="68" spans="1:1" ht="15" hidden="1" customHeight="1"/>
    <row r="69" spans="1:1" ht="15" hidden="1" customHeight="1"/>
    <row r="70" spans="1:1" ht="15" hidden="1" customHeight="1"/>
    <row r="71" spans="1:1" ht="15" hidden="1" customHeight="1"/>
    <row r="72" spans="1:1" ht="15" hidden="1" customHeight="1"/>
    <row r="73" spans="1:1" ht="15" hidden="1" customHeight="1"/>
    <row r="74" spans="1:1" ht="15" hidden="1" customHeight="1"/>
    <row r="75" spans="1:1" ht="15" hidden="1" customHeight="1"/>
    <row r="76" spans="1:1" ht="15" hidden="1" customHeight="1"/>
    <row r="77" spans="1:1" ht="15" hidden="1" customHeight="1"/>
    <row r="78" spans="1:1" ht="15" hidden="1" customHeight="1"/>
    <row r="79" spans="1:1" ht="15" hidden="1" customHeight="1"/>
    <row r="80" spans="1:1"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sheetData>
  <mergeCells count="14">
    <mergeCell ref="S11:T11"/>
    <mergeCell ref="U11:W11"/>
    <mergeCell ref="S12:T12"/>
    <mergeCell ref="U12:W12"/>
    <mergeCell ref="A49:Q50"/>
    <mergeCell ref="A19:Q20"/>
    <mergeCell ref="A22:Q24"/>
    <mergeCell ref="A45:Q46"/>
    <mergeCell ref="A62:Q63"/>
    <mergeCell ref="A26:Q27"/>
    <mergeCell ref="A4:Q5"/>
    <mergeCell ref="A51:A52"/>
    <mergeCell ref="A11:A13"/>
    <mergeCell ref="A9:Q10"/>
  </mergeCells>
  <hyperlinks>
    <hyperlink ref="A47" location="Indeksacja!A29" display="Nota metodologiczna"/>
  </hyperlink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9"/>
  <sheetViews>
    <sheetView workbookViewId="0">
      <pane xSplit="1" ySplit="2" topLeftCell="B79" activePane="bottomRight" state="frozen"/>
      <selection pane="topRight" activeCell="B1" sqref="B1"/>
      <selection pane="bottomLeft" activeCell="A3" sqref="A3"/>
      <selection pane="bottomRight" activeCell="C50" sqref="C50"/>
    </sheetView>
  </sheetViews>
  <sheetFormatPr defaultColWidth="0" defaultRowHeight="15" zeroHeight="1" outlineLevelRow="1"/>
  <cols>
    <col min="1" max="1" width="36" customWidth="1"/>
    <col min="2" max="17" width="20.140625" customWidth="1"/>
    <col min="18" max="18" width="9.140625" customWidth="1"/>
    <col min="19" max="16384" width="9.140625" hidden="1"/>
  </cols>
  <sheetData>
    <row r="1" spans="1:17" ht="21">
      <c r="A1" s="4" t="s">
        <v>224</v>
      </c>
      <c r="B1" s="103"/>
      <c r="C1" s="5"/>
      <c r="D1" s="103"/>
      <c r="E1" s="5"/>
      <c r="F1" s="5"/>
      <c r="G1" s="5"/>
      <c r="H1" s="5"/>
      <c r="I1" s="5"/>
      <c r="J1" s="5"/>
      <c r="K1" s="5"/>
      <c r="L1" s="5"/>
      <c r="M1" s="5"/>
      <c r="N1" s="5"/>
      <c r="O1" s="5"/>
      <c r="P1" s="5"/>
      <c r="Q1" s="5"/>
    </row>
    <row r="2" spans="1:17">
      <c r="A2" s="375" t="str">
        <f>Indeksacja!$A$2</f>
        <v>Dla roku bazowego 2022 właściwe do zastosowania w analizie są wartości kosztów jednostkowych określone według poziomu cenowego z końca roku poprzedniego, tzn. 2021.</v>
      </c>
      <c r="B2" s="378"/>
      <c r="C2" s="378"/>
      <c r="D2" s="378"/>
      <c r="E2" s="378"/>
      <c r="F2" s="378"/>
      <c r="G2" s="378"/>
      <c r="H2" s="378"/>
      <c r="I2" s="378"/>
      <c r="J2" s="378"/>
      <c r="K2" s="378"/>
    </row>
    <row r="3" spans="1:17" hidden="1" outlineLevel="1"/>
    <row r="4" spans="1:17" hidden="1" outlineLevel="1">
      <c r="A4" s="379" t="s">
        <v>209</v>
      </c>
    </row>
    <row r="5" spans="1:17" ht="15" hidden="1" customHeight="1" outlineLevel="1">
      <c r="A5" s="713" t="s">
        <v>179</v>
      </c>
      <c r="B5" s="720" t="s">
        <v>201</v>
      </c>
      <c r="C5" s="721"/>
      <c r="D5" s="721"/>
      <c r="E5" s="721"/>
      <c r="F5" s="721"/>
      <c r="G5" s="721"/>
      <c r="H5" s="721"/>
      <c r="I5" s="721"/>
      <c r="J5" s="722"/>
      <c r="K5" s="718" t="s">
        <v>202</v>
      </c>
      <c r="L5" s="726"/>
      <c r="M5" s="726"/>
      <c r="N5" s="726"/>
      <c r="O5" s="726"/>
      <c r="P5" s="726"/>
      <c r="Q5" s="719"/>
    </row>
    <row r="6" spans="1:17" hidden="1" outlineLevel="1">
      <c r="A6" s="714"/>
      <c r="B6" s="716" t="s">
        <v>67</v>
      </c>
      <c r="C6" s="716"/>
      <c r="D6" s="716"/>
      <c r="E6" s="716"/>
      <c r="F6" s="716" t="s">
        <v>180</v>
      </c>
      <c r="G6" s="716"/>
      <c r="H6" s="720" t="s">
        <v>194</v>
      </c>
      <c r="I6" s="723"/>
      <c r="J6" s="724"/>
      <c r="K6" s="725" t="s">
        <v>67</v>
      </c>
      <c r="L6" s="725"/>
      <c r="M6" s="725"/>
      <c r="N6" s="718" t="s">
        <v>198</v>
      </c>
      <c r="O6" s="719"/>
      <c r="P6" s="388" t="s">
        <v>199</v>
      </c>
      <c r="Q6" s="388" t="s">
        <v>200</v>
      </c>
    </row>
    <row r="7" spans="1:17" ht="30" hidden="1" outlineLevel="1">
      <c r="A7" s="714"/>
      <c r="B7" s="381" t="s">
        <v>69</v>
      </c>
      <c r="C7" s="381" t="s">
        <v>181</v>
      </c>
      <c r="D7" s="388" t="s">
        <v>164</v>
      </c>
      <c r="E7" s="381" t="s">
        <v>182</v>
      </c>
      <c r="F7" s="388" t="s">
        <v>49</v>
      </c>
      <c r="G7" s="388" t="s">
        <v>190</v>
      </c>
      <c r="H7" s="388" t="s">
        <v>191</v>
      </c>
      <c r="I7" s="388" t="s">
        <v>192</v>
      </c>
      <c r="J7" s="388" t="s">
        <v>193</v>
      </c>
      <c r="K7" s="388" t="s">
        <v>195</v>
      </c>
      <c r="L7" s="388" t="s">
        <v>206</v>
      </c>
      <c r="M7" s="388" t="s">
        <v>196</v>
      </c>
      <c r="N7" s="388" t="s">
        <v>50</v>
      </c>
      <c r="O7" s="388" t="s">
        <v>197</v>
      </c>
      <c r="P7" s="382" t="s">
        <v>183</v>
      </c>
      <c r="Q7" s="382" t="s">
        <v>183</v>
      </c>
    </row>
    <row r="8" spans="1:17" hidden="1" outlineLevel="1">
      <c r="A8" s="715"/>
      <c r="B8" s="387" t="s">
        <v>189</v>
      </c>
      <c r="C8" s="387" t="s">
        <v>189</v>
      </c>
      <c r="D8" s="387" t="s">
        <v>189</v>
      </c>
      <c r="E8" s="387" t="s">
        <v>189</v>
      </c>
      <c r="F8" s="387" t="s">
        <v>189</v>
      </c>
      <c r="G8" s="387" t="s">
        <v>189</v>
      </c>
      <c r="H8" s="387" t="s">
        <v>189</v>
      </c>
      <c r="I8" s="387" t="s">
        <v>189</v>
      </c>
      <c r="J8" s="387" t="s">
        <v>189</v>
      </c>
      <c r="K8" s="387" t="s">
        <v>203</v>
      </c>
      <c r="L8" s="387" t="s">
        <v>203</v>
      </c>
      <c r="M8" s="387" t="s">
        <v>204</v>
      </c>
      <c r="N8" s="387" t="s">
        <v>204</v>
      </c>
      <c r="O8" s="387" t="s">
        <v>204</v>
      </c>
      <c r="P8" s="387" t="s">
        <v>204</v>
      </c>
      <c r="Q8" s="387" t="s">
        <v>204</v>
      </c>
    </row>
    <row r="9" spans="1:17" hidden="1" outlineLevel="1">
      <c r="A9" s="380" t="s">
        <v>168</v>
      </c>
      <c r="B9" s="393">
        <v>4.9419822166640834</v>
      </c>
      <c r="C9" s="394">
        <v>0.91129571221427275</v>
      </c>
      <c r="D9" s="394">
        <v>0.91129571221427275</v>
      </c>
      <c r="E9" s="394">
        <v>14.47269999543076</v>
      </c>
      <c r="F9" s="394">
        <v>2.1410502010970887</v>
      </c>
      <c r="G9" s="394">
        <v>2.1410502010970887</v>
      </c>
      <c r="H9" s="394">
        <v>4.0730766818275831E-2</v>
      </c>
      <c r="I9" s="394">
        <v>1.021760001493933E-2</v>
      </c>
      <c r="J9" s="394">
        <v>1.2479100878744587E-3</v>
      </c>
      <c r="K9" s="394">
        <v>7.932595648434862E-2</v>
      </c>
      <c r="L9" s="394">
        <v>7.932595648434862E-2</v>
      </c>
      <c r="M9" s="394">
        <v>0.89371661550491233</v>
      </c>
      <c r="N9" s="394">
        <v>0.15113454904459742</v>
      </c>
      <c r="O9" s="394">
        <v>0.15113454904459742</v>
      </c>
      <c r="P9" s="394">
        <v>0.11535738857750023</v>
      </c>
      <c r="Q9" s="393">
        <f>P9*$A$19</f>
        <v>4.8450103202550096E-2</v>
      </c>
    </row>
    <row r="10" spans="1:17" hidden="1" outlineLevel="1">
      <c r="A10" s="380" t="s">
        <v>184</v>
      </c>
      <c r="B10" s="394">
        <v>0.6948296174621873</v>
      </c>
      <c r="C10" s="394">
        <v>0.70325056873360614</v>
      </c>
      <c r="D10" s="394">
        <v>0.67185670812936982</v>
      </c>
      <c r="E10" s="394">
        <v>0.58383306123067225</v>
      </c>
      <c r="F10" s="394">
        <v>2.2762887491827293E-3</v>
      </c>
      <c r="G10" s="394">
        <v>0.51840382713146216</v>
      </c>
      <c r="H10" s="394">
        <v>0.29624625848464697</v>
      </c>
      <c r="I10" s="394">
        <v>0.12744987874161517</v>
      </c>
      <c r="J10" s="394">
        <v>5.6342421124195824E-2</v>
      </c>
      <c r="K10" s="394">
        <v>1.095954560884822</v>
      </c>
      <c r="L10" s="394">
        <v>2.9752619988899052</v>
      </c>
      <c r="M10" s="394">
        <v>0.51379741859586103</v>
      </c>
      <c r="N10" s="394">
        <v>6.8372435423247064E-4</v>
      </c>
      <c r="O10" s="394">
        <v>0.73001691039391259</v>
      </c>
      <c r="P10" s="394">
        <v>0.66213948180495119</v>
      </c>
      <c r="Q10" s="393">
        <f t="shared" ref="Q10:Q14" si="0">P10*$A$19</f>
        <v>0.27809858235807949</v>
      </c>
    </row>
    <row r="11" spans="1:17" hidden="1" outlineLevel="1">
      <c r="A11" s="386" t="s">
        <v>188</v>
      </c>
      <c r="B11" s="394">
        <v>1.074564833882901</v>
      </c>
      <c r="C11" s="394">
        <v>0.50112560640457515</v>
      </c>
      <c r="D11" s="394">
        <v>0.47881482559613525</v>
      </c>
      <c r="E11" s="394">
        <v>0.92913133495158962</v>
      </c>
      <c r="F11" s="394">
        <v>0</v>
      </c>
      <c r="G11" s="394">
        <v>0.20736850703369594</v>
      </c>
      <c r="H11" s="394">
        <v>2.3862381184328489</v>
      </c>
      <c r="I11" s="394">
        <v>1.845148152089197</v>
      </c>
      <c r="J11" s="394">
        <v>2.2392096028822412</v>
      </c>
      <c r="K11" s="394">
        <v>2.5726314931590144</v>
      </c>
      <c r="L11" s="394">
        <v>3.0881555087856718</v>
      </c>
      <c r="M11" s="394">
        <v>0.40664724516556633</v>
      </c>
      <c r="N11" s="394">
        <v>0</v>
      </c>
      <c r="O11" s="394">
        <v>0.24718297545859325</v>
      </c>
      <c r="P11" s="394">
        <v>0.26534732008404416</v>
      </c>
      <c r="Q11" s="393">
        <f t="shared" si="0"/>
        <v>0.11144587443529855</v>
      </c>
    </row>
    <row r="12" spans="1:17" hidden="1" outlineLevel="1">
      <c r="A12" s="380" t="s">
        <v>185</v>
      </c>
      <c r="B12" s="394">
        <v>0.56918181438634607</v>
      </c>
      <c r="C12" s="394">
        <v>0.37761345249124445</v>
      </c>
      <c r="D12" s="394">
        <v>0.26718686788399409</v>
      </c>
      <c r="E12" s="394">
        <v>6.5602490563912657</v>
      </c>
      <c r="F12" s="394">
        <v>0.29181552346534906</v>
      </c>
      <c r="G12" s="394">
        <v>0.4377898715204494</v>
      </c>
      <c r="H12" s="394">
        <v>0.4561956149202997</v>
      </c>
      <c r="I12" s="394">
        <v>0.11443988625653438</v>
      </c>
      <c r="J12" s="394">
        <v>1.3976930816035949E-2</v>
      </c>
      <c r="K12" s="394">
        <v>1.3154764476764522</v>
      </c>
      <c r="L12" s="394">
        <v>1.3154764476764522</v>
      </c>
      <c r="M12" s="394">
        <v>0.49696367470730402</v>
      </c>
      <c r="N12" s="394">
        <v>0.17710776924607807</v>
      </c>
      <c r="O12" s="394">
        <v>0.32685423148583637</v>
      </c>
      <c r="P12" s="394">
        <v>0</v>
      </c>
      <c r="Q12" s="393">
        <f t="shared" si="0"/>
        <v>0</v>
      </c>
    </row>
    <row r="13" spans="1:17" hidden="1" outlineLevel="1">
      <c r="A13" s="386" t="s">
        <v>187</v>
      </c>
      <c r="B13" s="394">
        <v>4.50319525944058</v>
      </c>
      <c r="C13" s="394">
        <v>0.95146081667004812</v>
      </c>
      <c r="D13" s="394">
        <v>0.95146081667004812</v>
      </c>
      <c r="E13" s="394">
        <v>0</v>
      </c>
      <c r="F13" s="394">
        <v>0</v>
      </c>
      <c r="G13" s="394">
        <v>0</v>
      </c>
      <c r="H13" s="394">
        <v>0</v>
      </c>
      <c r="I13" s="394">
        <v>0</v>
      </c>
      <c r="J13" s="394">
        <v>0</v>
      </c>
      <c r="K13" s="394">
        <v>12.188190327182532</v>
      </c>
      <c r="L13" s="394">
        <v>12.188190327182532</v>
      </c>
      <c r="M13" s="394">
        <v>0.94483132190982111</v>
      </c>
      <c r="N13" s="394">
        <v>0</v>
      </c>
      <c r="O13" s="394">
        <v>0</v>
      </c>
      <c r="P13" s="394">
        <v>0</v>
      </c>
      <c r="Q13" s="393">
        <f t="shared" si="0"/>
        <v>0</v>
      </c>
    </row>
    <row r="14" spans="1:17" ht="27.75" hidden="1" outlineLevel="1">
      <c r="A14" s="389" t="s">
        <v>499</v>
      </c>
      <c r="B14" s="394">
        <v>0.30823030857525413</v>
      </c>
      <c r="C14" s="394">
        <v>0.14690254386575113</v>
      </c>
      <c r="D14" s="394">
        <v>0.12918751929667222</v>
      </c>
      <c r="E14" s="394">
        <v>0.40992942802594101</v>
      </c>
      <c r="F14" s="394">
        <v>2.007187142762008</v>
      </c>
      <c r="G14" s="394">
        <v>5.6126515900388606E-2</v>
      </c>
      <c r="H14" s="394">
        <v>1.0581206512020671</v>
      </c>
      <c r="I14" s="394">
        <v>0.70471158791067645</v>
      </c>
      <c r="J14" s="394">
        <v>0.90828714303759472</v>
      </c>
      <c r="K14" s="394">
        <v>0.76176908710897995</v>
      </c>
      <c r="L14" s="394">
        <v>0.69520291274240953</v>
      </c>
      <c r="M14" s="394">
        <v>0.14832114604146268</v>
      </c>
      <c r="N14" s="394">
        <v>0.21334009996827469</v>
      </c>
      <c r="O14" s="394">
        <v>6.7610382086649684E-2</v>
      </c>
      <c r="P14" s="394">
        <v>9.0830883907448617E-2</v>
      </c>
      <c r="Q14" s="393">
        <f t="shared" si="0"/>
        <v>3.814897124112842E-2</v>
      </c>
    </row>
    <row r="15" spans="1:17" hidden="1" outlineLevel="1">
      <c r="A15" t="s">
        <v>500</v>
      </c>
    </row>
    <row r="16" spans="1:17" hidden="1" outlineLevel="1">
      <c r="A16" s="390" t="s">
        <v>501</v>
      </c>
    </row>
    <row r="17" spans="1:15" hidden="1" outlineLevel="1"/>
    <row r="18" spans="1:15" hidden="1" outlineLevel="1">
      <c r="A18" s="380" t="s">
        <v>186</v>
      </c>
    </row>
    <row r="19" spans="1:15" hidden="1" outlineLevel="1">
      <c r="A19" s="384">
        <v>0.42</v>
      </c>
    </row>
    <row r="20" spans="1:15" hidden="1" outlineLevel="1">
      <c r="A20" s="383" t="s">
        <v>502</v>
      </c>
    </row>
    <row r="21" spans="1:15" hidden="1" outlineLevel="1"/>
    <row r="22" spans="1:15" hidden="1" outlineLevel="1">
      <c r="A22" s="375" t="s">
        <v>120</v>
      </c>
      <c r="B22" s="150">
        <f>1/100</f>
        <v>0.01</v>
      </c>
      <c r="C22" s="375"/>
      <c r="D22" s="375"/>
      <c r="E22" s="375"/>
      <c r="F22" s="375"/>
      <c r="G22" s="375"/>
      <c r="H22" s="375"/>
      <c r="I22" s="375"/>
      <c r="J22" s="375"/>
      <c r="K22" s="375"/>
      <c r="L22" s="375"/>
      <c r="M22" s="375"/>
      <c r="N22" s="375"/>
      <c r="O22" s="375"/>
    </row>
    <row r="23" spans="1:15" hidden="1" outlineLevel="1">
      <c r="A23" s="375"/>
      <c r="B23" s="375"/>
      <c r="C23" s="375"/>
      <c r="D23" s="375"/>
      <c r="E23" s="375"/>
      <c r="F23" s="375"/>
      <c r="G23" s="375"/>
      <c r="H23" s="375"/>
      <c r="I23" s="375"/>
      <c r="J23" s="375"/>
      <c r="K23" s="375"/>
      <c r="L23" s="375"/>
      <c r="M23" s="375"/>
      <c r="N23" s="375"/>
      <c r="O23" s="375"/>
    </row>
    <row r="24" spans="1:15" hidden="1" outlineLevel="1">
      <c r="A24" s="9" t="s">
        <v>2</v>
      </c>
      <c r="B24" s="6">
        <v>2016</v>
      </c>
    </row>
    <row r="25" spans="1:15" hidden="1" outlineLevel="1">
      <c r="A25" s="8" t="s">
        <v>3</v>
      </c>
      <c r="B25" s="11">
        <f>Indeksacja!$Q$41</f>
        <v>4.3632</v>
      </c>
    </row>
    <row r="26" spans="1:15" hidden="1" outlineLevel="1">
      <c r="A26" s="35" t="str">
        <f>Indeksacja!$A$42</f>
        <v>Źródło: ECB, http://sdw.ecb.europa.eu/quickview.do?SERIES_KEY=120.EXR.A.PLN.EUR.SP00.A</v>
      </c>
      <c r="B26" s="375"/>
      <c r="O26" s="375"/>
    </row>
    <row r="27" spans="1:15" hidden="1" outlineLevel="1">
      <c r="A27" s="375"/>
      <c r="B27" s="375"/>
      <c r="O27" s="375"/>
    </row>
    <row r="28" spans="1:15" ht="30" hidden="1" outlineLevel="1">
      <c r="A28" s="146" t="s">
        <v>349</v>
      </c>
      <c r="B28" s="6">
        <v>2016</v>
      </c>
    </row>
    <row r="29" spans="1:15" hidden="1" outlineLevel="1">
      <c r="A29" s="8" t="s">
        <v>64</v>
      </c>
      <c r="B29" s="374">
        <f>Indeksacja!$Q$44</f>
        <v>68.2</v>
      </c>
    </row>
    <row r="30" spans="1:15" hidden="1" outlineLevel="1">
      <c r="A30" s="35" t="str">
        <f>Indeksacja!$A$45</f>
        <v>Źródło: Eurostat, https://ec.europa.eu/eurostat/data/database Main GDP aggregates per capita [nama_10_pc] (aktualizacja 28.01.2022)</v>
      </c>
      <c r="B30" s="375"/>
      <c r="C30" s="375"/>
      <c r="D30" s="375"/>
      <c r="E30" s="375"/>
      <c r="F30" s="375"/>
      <c r="G30" s="375"/>
      <c r="H30" s="375"/>
      <c r="I30" s="375"/>
      <c r="J30" s="375"/>
      <c r="K30" s="375"/>
      <c r="L30" s="375"/>
      <c r="M30" s="375"/>
      <c r="N30" s="375"/>
      <c r="O30" s="375"/>
    </row>
    <row r="31" spans="1:15" hidden="1" outlineLevel="1"/>
    <row r="32" spans="1:15" s="454" customFormat="1" ht="15" hidden="1" customHeight="1" outlineLevel="1">
      <c r="A32" s="649" t="str">
        <f>'Zanieczyszczenia samochody'!$A$91</f>
        <v xml:space="preserve">Wyjaśnienie w sprawie przeliczenia wyjściowych wartości kosztów jednostkowych z zastosowaniem kursu walutowego PLN/EUR oraz PKB Polski per capita w jednostkach siły nabywczej (PPS): </v>
      </c>
      <c r="B32" s="649"/>
      <c r="C32" s="649"/>
      <c r="D32" s="649"/>
      <c r="E32" s="649"/>
      <c r="F32" s="649"/>
      <c r="G32" s="608"/>
      <c r="H32" s="608"/>
      <c r="I32" s="608"/>
      <c r="J32" s="608"/>
      <c r="K32" s="608"/>
      <c r="L32" s="608"/>
      <c r="M32" s="608"/>
      <c r="N32" s="608"/>
      <c r="O32" s="608"/>
    </row>
    <row r="33" spans="1:17" s="516" customFormat="1" hidden="1" outlineLevel="1">
      <c r="A33" s="649"/>
      <c r="B33" s="649"/>
      <c r="C33" s="649"/>
      <c r="D33" s="649"/>
      <c r="E33" s="649"/>
      <c r="F33" s="649"/>
      <c r="G33" s="608"/>
      <c r="H33" s="608"/>
      <c r="I33" s="608"/>
      <c r="J33" s="608"/>
      <c r="K33" s="608"/>
      <c r="L33" s="608"/>
      <c r="M33" s="608"/>
      <c r="N33" s="608"/>
      <c r="O33" s="608"/>
      <c r="P33" s="608"/>
      <c r="Q33" s="608"/>
    </row>
    <row r="34" spans="1:17" s="454" customFormat="1" hidden="1" outlineLevel="1">
      <c r="A34" s="408" t="s">
        <v>316</v>
      </c>
    </row>
    <row r="35" spans="1:17" s="454" customFormat="1" hidden="1" outlineLevel="1"/>
    <row r="36" spans="1:17" hidden="1" outlineLevel="1">
      <c r="A36" s="9" t="s">
        <v>205</v>
      </c>
      <c r="B36" s="41">
        <v>2016</v>
      </c>
      <c r="C36" s="41">
        <f>B36+1</f>
        <v>2017</v>
      </c>
      <c r="D36" s="41">
        <f t="shared" ref="D36:G36" si="1">C36+1</f>
        <v>2018</v>
      </c>
      <c r="E36" s="41">
        <f t="shared" si="1"/>
        <v>2019</v>
      </c>
      <c r="F36" s="41">
        <f t="shared" si="1"/>
        <v>2020</v>
      </c>
      <c r="G36" s="41">
        <f t="shared" si="1"/>
        <v>2021</v>
      </c>
    </row>
    <row r="37" spans="1:17" ht="45" hidden="1" outlineLevel="1">
      <c r="A37" s="230" t="str">
        <f>Indeksacja!$A$63</f>
        <v>Indeksacja = Y * (PKB per cap PL) * (inflacja PL do roku bazowego), 
skumulowane od 2016</v>
      </c>
      <c r="B37" s="391">
        <f>Indeksacja!Q$63</f>
        <v>1</v>
      </c>
      <c r="C37" s="80">
        <f>Indeksacja!R$63</f>
        <v>1.0591673885350317</v>
      </c>
      <c r="D37" s="80">
        <f>Indeksacja!S$63</f>
        <v>1.1226294257010379</v>
      </c>
      <c r="E37" s="80">
        <f>Indeksacja!T$63</f>
        <v>1.1916636822847133</v>
      </c>
      <c r="F37" s="80">
        <f>Indeksacja!U$63</f>
        <v>1.2104272262990794</v>
      </c>
      <c r="G37" s="80">
        <f>Indeksacja!V$63</f>
        <v>1.3324960011633553</v>
      </c>
    </row>
    <row r="38" spans="1:17" hidden="1" outlineLevel="1">
      <c r="F38" s="418"/>
      <c r="G38" s="454"/>
    </row>
    <row r="39" spans="1:17" s="375" customFormat="1" ht="33" hidden="1" outlineLevel="1">
      <c r="A39" s="146" t="s">
        <v>690</v>
      </c>
      <c r="B39" s="41">
        <v>2016</v>
      </c>
      <c r="C39" s="41">
        <f>B39+1</f>
        <v>2017</v>
      </c>
      <c r="D39" s="41">
        <f t="shared" ref="D39" si="2">C39+1</f>
        <v>2018</v>
      </c>
      <c r="E39" s="41">
        <f t="shared" ref="E39:G39" si="3">D39+1</f>
        <v>2019</v>
      </c>
      <c r="F39" s="41">
        <f t="shared" si="3"/>
        <v>2020</v>
      </c>
      <c r="G39" s="41">
        <f t="shared" si="3"/>
        <v>2021</v>
      </c>
    </row>
    <row r="40" spans="1:17" s="375" customFormat="1" ht="48" hidden="1" outlineLevel="1">
      <c r="A40" s="230" t="s">
        <v>691</v>
      </c>
      <c r="B40" s="612">
        <f>'Zmiany klimatu (GHG) samochody'!Q$107</f>
        <v>0</v>
      </c>
      <c r="C40" s="613">
        <f>'Zmiany klimatu (GHG) samochody'!R$107</f>
        <v>2.0000000000000094E-2</v>
      </c>
      <c r="D40" s="613">
        <f>'Zmiany klimatu (GHG) samochody'!S$107</f>
        <v>3.6320000000000088E-2</v>
      </c>
      <c r="E40" s="613">
        <f>'Zmiany klimatu (GHG) samochody'!T$107</f>
        <v>6.0155360000000019E-2</v>
      </c>
      <c r="F40" s="613">
        <f>'Zmiany klimatu (GHG) samochody'!U$107</f>
        <v>9.6200642239999953E-2</v>
      </c>
      <c r="G40" s="613">
        <f>'Zmiany klimatu (GHG) samochody'!V$107</f>
        <v>0.39692958593051575</v>
      </c>
    </row>
    <row r="41" spans="1:17" s="375" customFormat="1" hidden="1" outlineLevel="1">
      <c r="A41" s="379"/>
    </row>
    <row r="42" spans="1:17" s="375" customFormat="1" collapsed="1">
      <c r="A42" s="379"/>
    </row>
    <row r="43" spans="1:17" s="375" customFormat="1">
      <c r="A43" s="379" t="s">
        <v>504</v>
      </c>
    </row>
    <row r="44" spans="1:17" ht="15" customHeight="1">
      <c r="A44" s="713" t="s">
        <v>179</v>
      </c>
      <c r="B44" s="720" t="s">
        <v>201</v>
      </c>
      <c r="C44" s="721"/>
      <c r="D44" s="721"/>
      <c r="E44" s="721"/>
      <c r="F44" s="721"/>
      <c r="G44" s="721"/>
      <c r="H44" s="721"/>
      <c r="I44" s="721"/>
      <c r="J44" s="722"/>
      <c r="K44" s="718" t="s">
        <v>202</v>
      </c>
      <c r="L44" s="726"/>
      <c r="M44" s="726"/>
      <c r="N44" s="726"/>
      <c r="O44" s="726"/>
      <c r="P44" s="726"/>
      <c r="Q44" s="719"/>
    </row>
    <row r="45" spans="1:17">
      <c r="A45" s="714"/>
      <c r="B45" s="716" t="s">
        <v>67</v>
      </c>
      <c r="C45" s="716"/>
      <c r="D45" s="716"/>
      <c r="E45" s="716"/>
      <c r="F45" s="716" t="s">
        <v>180</v>
      </c>
      <c r="G45" s="716"/>
      <c r="H45" s="720" t="s">
        <v>194</v>
      </c>
      <c r="I45" s="723"/>
      <c r="J45" s="724"/>
      <c r="K45" s="725" t="s">
        <v>67</v>
      </c>
      <c r="L45" s="725"/>
      <c r="M45" s="725"/>
      <c r="N45" s="718" t="s">
        <v>198</v>
      </c>
      <c r="O45" s="719"/>
      <c r="P45" s="388" t="s">
        <v>199</v>
      </c>
      <c r="Q45" s="388" t="s">
        <v>200</v>
      </c>
    </row>
    <row r="46" spans="1:17" ht="30">
      <c r="A46" s="714"/>
      <c r="B46" s="381" t="s">
        <v>69</v>
      </c>
      <c r="C46" s="381" t="s">
        <v>181</v>
      </c>
      <c r="D46" s="388" t="s">
        <v>164</v>
      </c>
      <c r="E46" s="381" t="s">
        <v>182</v>
      </c>
      <c r="F46" s="388" t="s">
        <v>49</v>
      </c>
      <c r="G46" s="388" t="s">
        <v>190</v>
      </c>
      <c r="H46" s="388" t="s">
        <v>191</v>
      </c>
      <c r="I46" s="388" t="s">
        <v>192</v>
      </c>
      <c r="J46" s="388" t="s">
        <v>193</v>
      </c>
      <c r="K46" s="388" t="s">
        <v>195</v>
      </c>
      <c r="L46" s="388" t="s">
        <v>206</v>
      </c>
      <c r="M46" s="388" t="s">
        <v>196</v>
      </c>
      <c r="N46" s="388" t="s">
        <v>50</v>
      </c>
      <c r="O46" s="388" t="s">
        <v>197</v>
      </c>
      <c r="P46" s="382" t="s">
        <v>183</v>
      </c>
      <c r="Q46" s="382" t="s">
        <v>183</v>
      </c>
    </row>
    <row r="47" spans="1:17">
      <c r="A47" s="715"/>
      <c r="B47" s="387" t="s">
        <v>207</v>
      </c>
      <c r="C47" s="387" t="s">
        <v>207</v>
      </c>
      <c r="D47" s="387" t="s">
        <v>207</v>
      </c>
      <c r="E47" s="387" t="s">
        <v>207</v>
      </c>
      <c r="F47" s="387" t="s">
        <v>207</v>
      </c>
      <c r="G47" s="387" t="s">
        <v>207</v>
      </c>
      <c r="H47" s="387" t="s">
        <v>207</v>
      </c>
      <c r="I47" s="387" t="s">
        <v>207</v>
      </c>
      <c r="J47" s="387" t="s">
        <v>207</v>
      </c>
      <c r="K47" s="387" t="s">
        <v>119</v>
      </c>
      <c r="L47" s="387" t="s">
        <v>119</v>
      </c>
      <c r="M47" s="387" t="s">
        <v>208</v>
      </c>
      <c r="N47" s="387" t="s">
        <v>208</v>
      </c>
      <c r="O47" s="387" t="s">
        <v>208</v>
      </c>
      <c r="P47" s="387" t="s">
        <v>208</v>
      </c>
      <c r="Q47" s="387" t="s">
        <v>208</v>
      </c>
    </row>
    <row r="48" spans="1:17">
      <c r="A48" s="380" t="s">
        <v>168</v>
      </c>
      <c r="B48" s="393">
        <f t="shared" ref="B48:Q48" si="4">B9*$B$22*$B$25*$B$29/100*$G$37</f>
        <v>0.19595510760528553</v>
      </c>
      <c r="C48" s="393">
        <f t="shared" si="4"/>
        <v>3.6133891527380446E-2</v>
      </c>
      <c r="D48" s="393">
        <f t="shared" si="4"/>
        <v>3.6133891527380446E-2</v>
      </c>
      <c r="E48" s="393">
        <f t="shared" si="4"/>
        <v>0.57385869892061148</v>
      </c>
      <c r="F48" s="393">
        <f t="shared" si="4"/>
        <v>8.4895028786141788E-2</v>
      </c>
      <c r="G48" s="393">
        <f t="shared" si="4"/>
        <v>8.4895028786141788E-2</v>
      </c>
      <c r="H48" s="393">
        <f t="shared" si="4"/>
        <v>1.6150203389660529E-3</v>
      </c>
      <c r="I48" s="393">
        <f t="shared" si="4"/>
        <v>4.0513923818744822E-4</v>
      </c>
      <c r="J48" s="393">
        <f t="shared" si="4"/>
        <v>4.9481027011105974E-5</v>
      </c>
      <c r="K48" s="393">
        <f t="shared" si="4"/>
        <v>3.1453626616397257E-3</v>
      </c>
      <c r="L48" s="393">
        <f t="shared" si="4"/>
        <v>3.1453626616397257E-3</v>
      </c>
      <c r="M48" s="393">
        <f t="shared" si="4"/>
        <v>3.5436860733608848E-2</v>
      </c>
      <c r="N48" s="393">
        <f t="shared" si="4"/>
        <v>5.9926534581707545E-3</v>
      </c>
      <c r="O48" s="393">
        <f t="shared" si="4"/>
        <v>5.9926534581707545E-3</v>
      </c>
      <c r="P48" s="393">
        <f t="shared" si="4"/>
        <v>4.5740491367100549E-3</v>
      </c>
      <c r="Q48" s="393">
        <f t="shared" si="4"/>
        <v>1.921100637418223E-3</v>
      </c>
    </row>
    <row r="49" spans="1:17">
      <c r="A49" s="380" t="s">
        <v>184</v>
      </c>
      <c r="B49" s="393">
        <f t="shared" ref="B49:Q49" si="5">B10*$B$22*$B$25*$B$29/100*$G$37</f>
        <v>2.755076940544909E-2</v>
      </c>
      <c r="C49" s="393">
        <f t="shared" si="5"/>
        <v>2.7884669516818492E-2</v>
      </c>
      <c r="D49" s="393">
        <f t="shared" si="5"/>
        <v>2.6639867924432143E-2</v>
      </c>
      <c r="E49" s="393">
        <f t="shared" si="5"/>
        <v>2.3149632135707053E-2</v>
      </c>
      <c r="F49" s="393">
        <f t="shared" si="5"/>
        <v>9.0257388074515109E-5</v>
      </c>
      <c r="G49" s="393">
        <f t="shared" si="5"/>
        <v>2.055529001824459E-2</v>
      </c>
      <c r="H49" s="393">
        <f t="shared" si="5"/>
        <v>1.1746494607624784E-2</v>
      </c>
      <c r="I49" s="393">
        <f t="shared" si="5"/>
        <v>5.0535298607270072E-3</v>
      </c>
      <c r="J49" s="393">
        <f t="shared" si="5"/>
        <v>2.234039846785745E-3</v>
      </c>
      <c r="K49" s="393">
        <f t="shared" si="5"/>
        <v>4.3455820861624583E-2</v>
      </c>
      <c r="L49" s="393">
        <f t="shared" si="5"/>
        <v>0.11797245712064391</v>
      </c>
      <c r="M49" s="393">
        <f t="shared" si="5"/>
        <v>2.0372640781421369E-2</v>
      </c>
      <c r="N49" s="393">
        <f t="shared" si="5"/>
        <v>2.7110433330619362E-5</v>
      </c>
      <c r="O49" s="393">
        <f t="shared" si="5"/>
        <v>2.8945984821143009E-2</v>
      </c>
      <c r="P49" s="393">
        <f t="shared" si="5"/>
        <v>2.6254569061233947E-2</v>
      </c>
      <c r="Q49" s="393">
        <f t="shared" si="5"/>
        <v>1.1026919005718259E-2</v>
      </c>
    </row>
    <row r="50" spans="1:17">
      <c r="A50" s="386" t="s">
        <v>188</v>
      </c>
      <c r="B50" s="393">
        <f>B11*$B$22*$B$25*(100%+$G$40)</f>
        <v>6.5495620333557353E-2</v>
      </c>
      <c r="C50" s="393">
        <f>C11*$B$22*$B$25*(100%+$G$40)</f>
        <v>3.0544022493178315E-2</v>
      </c>
      <c r="D50" s="393">
        <f>D11*$B$22*$B$25*(100%+$G$40)</f>
        <v>2.9184161847176534E-2</v>
      </c>
      <c r="E50" s="393">
        <f>E11*$B$22*$B$25*(100%+$G$40)</f>
        <v>5.6631327617624315E-2</v>
      </c>
      <c r="F50" s="393">
        <f>F11*$B$22*$B$25*(100%+$G$40*(100%+'Zmiany klimatu (GHG) samochody'!$V$180))</f>
        <v>0</v>
      </c>
      <c r="G50" s="393">
        <f t="shared" ref="G50:M50" si="6">G11*$B$22*$B$25*(100%+$G$40)</f>
        <v>1.2639282970705899E-2</v>
      </c>
      <c r="H50" s="393">
        <f t="shared" si="6"/>
        <v>0.14544319793678578</v>
      </c>
      <c r="I50" s="393">
        <f t="shared" si="6"/>
        <v>0.11246331446722956</v>
      </c>
      <c r="J50" s="393">
        <f t="shared" si="6"/>
        <v>0.136481687631342</v>
      </c>
      <c r="K50" s="393">
        <f t="shared" si="6"/>
        <v>0.1568040291484703</v>
      </c>
      <c r="L50" s="393">
        <f t="shared" si="6"/>
        <v>0.18822564665879529</v>
      </c>
      <c r="M50" s="393">
        <f t="shared" si="6"/>
        <v>2.4785487798638775E-2</v>
      </c>
      <c r="N50" s="393">
        <f>N11*$B$22*$B$25*(100%+$G$40*(100%++'Zmiany klimatu (GHG) samochody'!$V$180))</f>
        <v>0</v>
      </c>
      <c r="O50" s="393">
        <f>O11*$B$22*$B$25*(100%+$G$40)</f>
        <v>1.5066007934630829E-2</v>
      </c>
      <c r="P50" s="393">
        <f>P11*$B$22*$B$25*(100%+$G$40)</f>
        <v>1.6173139846716152E-2</v>
      </c>
      <c r="Q50" s="393">
        <f>Q11*$B$22*$B$25*(100%+$G$40)</f>
        <v>6.7927187356207853E-3</v>
      </c>
    </row>
    <row r="51" spans="1:17">
      <c r="A51" s="380" t="s">
        <v>185</v>
      </c>
      <c r="B51" s="393">
        <f t="shared" ref="B51:Q51" si="7">B12*$B$22*$B$25*$B$29/100*$G$37</f>
        <v>2.256869385506113E-2</v>
      </c>
      <c r="C51" s="393">
        <f t="shared" si="7"/>
        <v>1.497279461399462E-2</v>
      </c>
      <c r="D51" s="393">
        <f t="shared" si="7"/>
        <v>1.0594257354950344E-2</v>
      </c>
      <c r="E51" s="393">
        <f t="shared" si="7"/>
        <v>0.26012119295531705</v>
      </c>
      <c r="F51" s="393">
        <f t="shared" si="7"/>
        <v>1.1570811021684425E-2</v>
      </c>
      <c r="G51" s="393">
        <f t="shared" si="7"/>
        <v>1.7358856754486965E-2</v>
      </c>
      <c r="H51" s="393">
        <f t="shared" si="7"/>
        <v>1.808866501164972E-2</v>
      </c>
      <c r="I51" s="393">
        <f t="shared" si="7"/>
        <v>4.5376691462222863E-3</v>
      </c>
      <c r="J51" s="393">
        <f t="shared" si="7"/>
        <v>5.5420089793376958E-4</v>
      </c>
      <c r="K51" s="393">
        <f t="shared" si="7"/>
        <v>5.2160108546618712E-2</v>
      </c>
      <c r="L51" s="393">
        <f t="shared" si="7"/>
        <v>5.2160108546618712E-2</v>
      </c>
      <c r="M51" s="393">
        <f t="shared" si="7"/>
        <v>1.9705164058425657E-2</v>
      </c>
      <c r="N51" s="393">
        <f t="shared" si="7"/>
        <v>7.0225206119365301E-3</v>
      </c>
      <c r="O51" s="393">
        <f t="shared" si="7"/>
        <v>1.2960134879903291E-2</v>
      </c>
      <c r="P51" s="393">
        <f t="shared" si="7"/>
        <v>0</v>
      </c>
      <c r="Q51" s="393">
        <f t="shared" si="7"/>
        <v>0</v>
      </c>
    </row>
    <row r="52" spans="1:17">
      <c r="A52" s="386" t="s">
        <v>187</v>
      </c>
      <c r="B52" s="393">
        <f t="shared" ref="B52:Q52" si="8">B13*$B$22*$B$25*$B$29/100*$G$37</f>
        <v>0.17855671529043679</v>
      </c>
      <c r="C52" s="393">
        <f t="shared" si="8"/>
        <v>3.7726482722684605E-2</v>
      </c>
      <c r="D52" s="393">
        <f t="shared" si="8"/>
        <v>3.7726482722684605E-2</v>
      </c>
      <c r="E52" s="393">
        <f t="shared" si="8"/>
        <v>0</v>
      </c>
      <c r="F52" s="393">
        <f t="shared" si="8"/>
        <v>0</v>
      </c>
      <c r="G52" s="393">
        <f t="shared" si="8"/>
        <v>0</v>
      </c>
      <c r="H52" s="393">
        <f t="shared" si="8"/>
        <v>0</v>
      </c>
      <c r="I52" s="393">
        <f t="shared" si="8"/>
        <v>0</v>
      </c>
      <c r="J52" s="393">
        <f t="shared" si="8"/>
        <v>0</v>
      </c>
      <c r="K52" s="393">
        <f t="shared" si="8"/>
        <v>0.48327534223482482</v>
      </c>
      <c r="L52" s="393">
        <f t="shared" si="8"/>
        <v>0.48327534223482482</v>
      </c>
      <c r="M52" s="393">
        <f t="shared" si="8"/>
        <v>3.7463615860329556E-2</v>
      </c>
      <c r="N52" s="393">
        <f t="shared" si="8"/>
        <v>0</v>
      </c>
      <c r="O52" s="393">
        <f t="shared" si="8"/>
        <v>0</v>
      </c>
      <c r="P52" s="393">
        <f t="shared" si="8"/>
        <v>0</v>
      </c>
      <c r="Q52" s="393">
        <f t="shared" si="8"/>
        <v>0</v>
      </c>
    </row>
    <row r="53" spans="1:17" ht="27.75">
      <c r="A53" s="389" t="s">
        <v>505</v>
      </c>
      <c r="B53" s="393">
        <f t="shared" ref="B53:Q53" si="9">B14*$B$22*$B$25*$B$29/100*$G$37</f>
        <v>1.2221675561763713E-2</v>
      </c>
      <c r="C53" s="393">
        <f t="shared" si="9"/>
        <v>5.8248497320847626E-3</v>
      </c>
      <c r="D53" s="393">
        <f t="shared" si="9"/>
        <v>5.1224292470496381E-3</v>
      </c>
      <c r="E53" s="393">
        <f t="shared" si="9"/>
        <v>1.625415909198049E-2</v>
      </c>
      <c r="F53" s="393">
        <f t="shared" si="9"/>
        <v>7.9587209200718489E-2</v>
      </c>
      <c r="G53" s="393">
        <f t="shared" si="9"/>
        <v>2.2254789638224215E-3</v>
      </c>
      <c r="H53" s="393">
        <f t="shared" si="9"/>
        <v>4.195566413948703E-2</v>
      </c>
      <c r="I53" s="393">
        <f t="shared" si="9"/>
        <v>2.794260055693653E-2</v>
      </c>
      <c r="J53" s="393">
        <f t="shared" si="9"/>
        <v>3.6014598403506792E-2</v>
      </c>
      <c r="K53" s="393">
        <f t="shared" si="9"/>
        <v>3.0204994047020591E-2</v>
      </c>
      <c r="L53" s="393">
        <f t="shared" si="9"/>
        <v>2.7565570979715761E-2</v>
      </c>
      <c r="M53" s="393">
        <f t="shared" si="9"/>
        <v>5.8810988907833312E-3</v>
      </c>
      <c r="N53" s="393">
        <f t="shared" si="9"/>
        <v>8.4591729417482064E-3</v>
      </c>
      <c r="O53" s="393">
        <f t="shared" si="9"/>
        <v>2.6808270682056245E-3</v>
      </c>
      <c r="P53" s="393">
        <f t="shared" si="9"/>
        <v>3.6015458675571171E-3</v>
      </c>
      <c r="Q53" s="393">
        <f t="shared" si="9"/>
        <v>1.5126492643739891E-3</v>
      </c>
    </row>
    <row r="54" spans="1:17">
      <c r="A54" s="490" t="s">
        <v>506</v>
      </c>
      <c r="B54" s="489">
        <f>B53/SUM(B48:B53)</f>
        <v>2.432907347294844E-2</v>
      </c>
      <c r="C54" s="489">
        <f t="shared" ref="C54:Q54" si="10">C53/SUM(C48:C53)</f>
        <v>3.8049349346011042E-2</v>
      </c>
      <c r="D54" s="489">
        <f t="shared" si="10"/>
        <v>3.5229648038249461E-2</v>
      </c>
      <c r="E54" s="489">
        <f t="shared" si="10"/>
        <v>1.7477308327932418E-2</v>
      </c>
      <c r="F54" s="489">
        <f t="shared" si="10"/>
        <v>0.4518321520632364</v>
      </c>
      <c r="G54" s="489">
        <f t="shared" si="10"/>
        <v>1.6164853016781642E-2</v>
      </c>
      <c r="H54" s="489">
        <f t="shared" si="10"/>
        <v>0.19171052223692372</v>
      </c>
      <c r="I54" s="489">
        <f t="shared" si="10"/>
        <v>0.18578578411923052</v>
      </c>
      <c r="J54" s="489">
        <f t="shared" si="10"/>
        <v>0.20540566461719439</v>
      </c>
      <c r="K54" s="489">
        <f t="shared" si="10"/>
        <v>3.9275943830438684E-2</v>
      </c>
      <c r="L54" s="489">
        <f t="shared" si="10"/>
        <v>3.1599409811740739E-2</v>
      </c>
      <c r="M54" s="489">
        <f t="shared" si="10"/>
        <v>4.0941935257575481E-2</v>
      </c>
      <c r="N54" s="489">
        <f t="shared" si="10"/>
        <v>0.39342323483481356</v>
      </c>
      <c r="O54" s="489">
        <f t="shared" si="10"/>
        <v>4.0837873899921898E-2</v>
      </c>
      <c r="P54" s="489">
        <f t="shared" si="10"/>
        <v>7.1172148636871671E-2</v>
      </c>
      <c r="Q54" s="489">
        <f t="shared" si="10"/>
        <v>7.1172148636871657E-2</v>
      </c>
    </row>
    <row r="55" spans="1:17" s="454" customFormat="1">
      <c r="B55" s="488"/>
      <c r="C55" s="488"/>
      <c r="D55" s="488"/>
      <c r="E55" s="488"/>
      <c r="F55" s="488"/>
      <c r="G55" s="488"/>
      <c r="H55" s="488"/>
      <c r="I55" s="488"/>
      <c r="J55" s="488"/>
      <c r="K55" s="488"/>
      <c r="L55" s="488"/>
      <c r="M55" s="488"/>
      <c r="N55" s="488"/>
      <c r="O55" s="488"/>
      <c r="P55" s="488"/>
      <c r="Q55" s="488"/>
    </row>
    <row r="56" spans="1:17">
      <c r="A56" s="385" t="s">
        <v>280</v>
      </c>
    </row>
    <row r="57" spans="1:17" s="454" customFormat="1">
      <c r="A57" s="385"/>
    </row>
    <row r="58" spans="1:17" s="454" customFormat="1">
      <c r="A58" s="717" t="s">
        <v>507</v>
      </c>
      <c r="B58" s="717"/>
      <c r="C58" s="717"/>
      <c r="D58" s="717"/>
      <c r="E58" s="717"/>
      <c r="F58" s="717"/>
    </row>
    <row r="59" spans="1:17" s="516" customFormat="1">
      <c r="A59" s="717"/>
      <c r="B59" s="717"/>
      <c r="C59" s="717"/>
      <c r="D59" s="717"/>
      <c r="E59" s="717"/>
      <c r="F59" s="717"/>
    </row>
    <row r="60" spans="1:17" s="454" customFormat="1">
      <c r="A60" s="645" t="s">
        <v>508</v>
      </c>
      <c r="B60" s="645"/>
      <c r="C60" s="645"/>
      <c r="D60" s="645"/>
      <c r="E60" s="645"/>
      <c r="F60" s="645"/>
    </row>
    <row r="61" spans="1:17" s="516" customFormat="1">
      <c r="A61" s="645"/>
      <c r="B61" s="645"/>
      <c r="C61" s="645"/>
      <c r="D61" s="645"/>
      <c r="E61" s="645"/>
      <c r="F61" s="645"/>
    </row>
    <row r="62" spans="1:17" s="454" customFormat="1">
      <c r="A62" s="673" t="s">
        <v>692</v>
      </c>
      <c r="B62" s="673"/>
      <c r="C62" s="673"/>
      <c r="D62" s="673"/>
      <c r="E62" s="673"/>
      <c r="F62" s="673"/>
    </row>
    <row r="63" spans="1:17" s="610" customFormat="1">
      <c r="A63" s="673"/>
      <c r="B63" s="673"/>
      <c r="C63" s="673"/>
      <c r="D63" s="673"/>
      <c r="E63" s="673"/>
      <c r="F63" s="673"/>
    </row>
    <row r="64" spans="1:17" s="516" customFormat="1">
      <c r="A64" s="673"/>
      <c r="B64" s="673"/>
      <c r="C64" s="673"/>
      <c r="D64" s="673"/>
      <c r="E64" s="673"/>
      <c r="F64" s="673"/>
    </row>
    <row r="65" spans="1:6">
      <c r="A65" s="645" t="s">
        <v>509</v>
      </c>
      <c r="B65" s="645"/>
      <c r="C65" s="645"/>
      <c r="D65" s="645"/>
      <c r="E65" s="645"/>
      <c r="F65" s="645"/>
    </row>
    <row r="66" spans="1:6" s="516" customFormat="1">
      <c r="A66" s="645"/>
      <c r="B66" s="645"/>
      <c r="C66" s="645"/>
      <c r="D66" s="645"/>
      <c r="E66" s="645"/>
      <c r="F66" s="645"/>
    </row>
    <row r="67" spans="1:6" s="454" customFormat="1">
      <c r="A67" s="483" t="s">
        <v>303</v>
      </c>
    </row>
    <row r="68" spans="1:6" s="454" customFormat="1" ht="18" customHeight="1">
      <c r="A68" s="645" t="s">
        <v>510</v>
      </c>
      <c r="B68" s="645"/>
      <c r="C68" s="645"/>
      <c r="D68" s="645"/>
      <c r="E68" s="645"/>
      <c r="F68" s="645"/>
    </row>
    <row r="69" spans="1:6" s="516" customFormat="1">
      <c r="A69" s="645"/>
      <c r="B69" s="645"/>
      <c r="C69" s="645"/>
      <c r="D69" s="645"/>
      <c r="E69" s="645"/>
      <c r="F69" s="645"/>
    </row>
    <row r="70" spans="1:6" s="454" customFormat="1" ht="18">
      <c r="A70" s="482" t="s">
        <v>312</v>
      </c>
    </row>
    <row r="71" spans="1:6" ht="18" customHeight="1">
      <c r="A71" s="645" t="s">
        <v>511</v>
      </c>
      <c r="B71" s="645"/>
      <c r="C71" s="645"/>
      <c r="D71" s="645"/>
      <c r="E71" s="645"/>
      <c r="F71" s="645"/>
    </row>
    <row r="72" spans="1:6" s="516" customFormat="1">
      <c r="A72" s="645"/>
      <c r="B72" s="645"/>
      <c r="C72" s="645"/>
      <c r="D72" s="645"/>
      <c r="E72" s="645"/>
      <c r="F72" s="645"/>
    </row>
    <row r="73" spans="1:6" s="454" customFormat="1" ht="18">
      <c r="A73" s="483" t="s">
        <v>310</v>
      </c>
    </row>
    <row r="74" spans="1:6" s="454" customFormat="1">
      <c r="A74" s="454" t="s">
        <v>512</v>
      </c>
    </row>
    <row r="75" spans="1:6" s="454" customFormat="1">
      <c r="A75" s="645" t="s">
        <v>513</v>
      </c>
      <c r="B75" s="645"/>
      <c r="C75" s="645"/>
      <c r="D75" s="645"/>
      <c r="E75" s="645"/>
      <c r="F75" s="645"/>
    </row>
    <row r="76" spans="1:6" s="516" customFormat="1">
      <c r="A76" s="645"/>
      <c r="B76" s="645"/>
      <c r="C76" s="645"/>
      <c r="D76" s="645"/>
      <c r="E76" s="645"/>
      <c r="F76" s="645"/>
    </row>
    <row r="77" spans="1:6" s="454" customFormat="1">
      <c r="A77" s="645" t="s">
        <v>514</v>
      </c>
      <c r="B77" s="645"/>
      <c r="C77" s="645"/>
      <c r="D77" s="645"/>
      <c r="E77" s="645"/>
      <c r="F77" s="645"/>
    </row>
    <row r="78" spans="1:6" s="516" customFormat="1">
      <c r="A78" s="645"/>
      <c r="B78" s="645"/>
      <c r="C78" s="645"/>
      <c r="D78" s="645"/>
      <c r="E78" s="645"/>
      <c r="F78" s="645"/>
    </row>
    <row r="79" spans="1:6" s="516" customFormat="1">
      <c r="A79" s="645" t="s">
        <v>517</v>
      </c>
      <c r="B79" s="645"/>
      <c r="C79" s="645"/>
      <c r="D79" s="645"/>
      <c r="E79" s="645"/>
      <c r="F79" s="645"/>
    </row>
    <row r="80" spans="1:6" s="516" customFormat="1">
      <c r="A80" s="645"/>
      <c r="B80" s="645"/>
      <c r="C80" s="645"/>
      <c r="D80" s="645"/>
      <c r="E80" s="645"/>
      <c r="F80" s="645"/>
    </row>
    <row r="81" spans="1:17"/>
    <row r="82" spans="1:17">
      <c r="A82" s="189" t="s">
        <v>515</v>
      </c>
    </row>
    <row r="83" spans="1:17">
      <c r="A83" s="711" t="s">
        <v>301</v>
      </c>
      <c r="B83" s="511" t="s">
        <v>221</v>
      </c>
      <c r="C83" s="6">
        <v>2022</v>
      </c>
      <c r="D83" s="6">
        <f>C83+1</f>
        <v>2023</v>
      </c>
      <c r="E83" s="6">
        <f t="shared" ref="E83:Q83" si="11">D83+1</f>
        <v>2024</v>
      </c>
      <c r="F83" s="6">
        <f t="shared" si="11"/>
        <v>2025</v>
      </c>
      <c r="G83" s="6">
        <f t="shared" si="11"/>
        <v>2026</v>
      </c>
      <c r="H83" s="6">
        <f t="shared" si="11"/>
        <v>2027</v>
      </c>
      <c r="I83" s="6">
        <f t="shared" si="11"/>
        <v>2028</v>
      </c>
      <c r="J83" s="6">
        <f t="shared" si="11"/>
        <v>2029</v>
      </c>
      <c r="K83" s="6">
        <f t="shared" si="11"/>
        <v>2030</v>
      </c>
      <c r="L83" s="6">
        <f t="shared" si="11"/>
        <v>2031</v>
      </c>
      <c r="M83" s="6">
        <f t="shared" si="11"/>
        <v>2032</v>
      </c>
      <c r="N83" s="6">
        <f t="shared" si="11"/>
        <v>2033</v>
      </c>
      <c r="O83" s="6">
        <f t="shared" si="11"/>
        <v>2034</v>
      </c>
      <c r="P83" s="6">
        <f t="shared" si="11"/>
        <v>2035</v>
      </c>
      <c r="Q83" s="6">
        <f t="shared" si="11"/>
        <v>2036</v>
      </c>
    </row>
    <row r="84" spans="1:17">
      <c r="A84" s="712"/>
      <c r="B84" s="512" t="s">
        <v>315</v>
      </c>
      <c r="C84" s="506">
        <f>DATE(2021,12,31)</f>
        <v>44561</v>
      </c>
      <c r="D84" s="506">
        <f>DATE(YEAR(C84+1),12,31)</f>
        <v>44926</v>
      </c>
      <c r="E84" s="506">
        <f t="shared" ref="E84:Q84" si="12">DATE(YEAR(D84+1),12,31)</f>
        <v>45291</v>
      </c>
      <c r="F84" s="506">
        <f t="shared" si="12"/>
        <v>45657</v>
      </c>
      <c r="G84" s="506">
        <f t="shared" si="12"/>
        <v>46022</v>
      </c>
      <c r="H84" s="506">
        <f t="shared" si="12"/>
        <v>46387</v>
      </c>
      <c r="I84" s="506">
        <f t="shared" si="12"/>
        <v>46752</v>
      </c>
      <c r="J84" s="506">
        <f t="shared" si="12"/>
        <v>47118</v>
      </c>
      <c r="K84" s="506">
        <f t="shared" si="12"/>
        <v>47483</v>
      </c>
      <c r="L84" s="506">
        <f t="shared" si="12"/>
        <v>47848</v>
      </c>
      <c r="M84" s="506">
        <f t="shared" si="12"/>
        <v>48213</v>
      </c>
      <c r="N84" s="506">
        <f t="shared" si="12"/>
        <v>48579</v>
      </c>
      <c r="O84" s="506">
        <f t="shared" si="12"/>
        <v>48944</v>
      </c>
      <c r="P84" s="506">
        <f t="shared" si="12"/>
        <v>49309</v>
      </c>
      <c r="Q84" s="506">
        <f t="shared" si="12"/>
        <v>49674</v>
      </c>
    </row>
    <row r="85" spans="1:17">
      <c r="A85" s="380" t="s">
        <v>168</v>
      </c>
      <c r="B85" s="331" t="s">
        <v>302</v>
      </c>
      <c r="C85" s="338">
        <f>B48</f>
        <v>0.19595510760528553</v>
      </c>
      <c r="D85" s="339">
        <f>C85*Indeksacja!W$61</f>
        <v>0.20222435749053411</v>
      </c>
      <c r="E85" s="331">
        <f>D85*Indeksacja!X$61</f>
        <v>0.20774840470349887</v>
      </c>
      <c r="F85" s="331">
        <f>E85*Indeksacja!Y$61</f>
        <v>0.21312016565538899</v>
      </c>
      <c r="G85" s="331">
        <f>F85*Indeksacja!Z$61</f>
        <v>0.21883332941368447</v>
      </c>
      <c r="H85" s="331">
        <f>G85*Indeksacja!AA$61</f>
        <v>0.22455685056165395</v>
      </c>
      <c r="I85" s="331">
        <f>H85*Indeksacja!AB$61</f>
        <v>0.23046383216809732</v>
      </c>
      <c r="J85" s="331">
        <f>I85*Indeksacja!AC$61</f>
        <v>0.23637569832222272</v>
      </c>
      <c r="K85" s="331">
        <f>J85*Indeksacja!AD$61</f>
        <v>0.2422839758709607</v>
      </c>
      <c r="L85" s="331">
        <f>K85*Indeksacja!AE$61</f>
        <v>0.24817965507708825</v>
      </c>
      <c r="M85" s="331">
        <f>L85*Indeksacja!AF$61</f>
        <v>0.25425811593550235</v>
      </c>
      <c r="N85" s="331">
        <f>M85*Indeksacja!AG$61</f>
        <v>0.26031914165467274</v>
      </c>
      <c r="O85" s="331">
        <f>N85*Indeksacja!AH$61</f>
        <v>0.26656054938930945</v>
      </c>
      <c r="P85" s="331">
        <f>O85*Indeksacja!AI$61</f>
        <v>0.27277092788094004</v>
      </c>
      <c r="Q85" s="331">
        <f>P85*Indeksacja!AJ$61</f>
        <v>0.27893676471285422</v>
      </c>
    </row>
    <row r="86" spans="1:17">
      <c r="A86" s="386" t="s">
        <v>188</v>
      </c>
      <c r="B86" s="331" t="s">
        <v>302</v>
      </c>
      <c r="C86" s="338">
        <f>B50</f>
        <v>6.5495620333557353E-2</v>
      </c>
      <c r="D86" s="339">
        <f>C86*(100%+'Zmiany klimatu (GHG) samochody'!W$106)</f>
        <v>7.697423420644886E-2</v>
      </c>
      <c r="E86" s="331">
        <f>D86*(100%+'Zmiany klimatu (GHG) samochody'!X$106)</f>
        <v>8.845284807934034E-2</v>
      </c>
      <c r="F86" s="331">
        <f>E86*(100%+'Zmiany klimatu (GHG) samochody'!Y$106)</f>
        <v>9.9931461952231848E-2</v>
      </c>
      <c r="G86" s="331">
        <f>F86*(100%+'Zmiany klimatu (GHG) samochody'!Z$106)</f>
        <v>0.11141007582512336</v>
      </c>
      <c r="H86" s="331">
        <f>G86*(100%+'Zmiany klimatu (GHG) samochody'!AA$106)</f>
        <v>0.12288868969801485</v>
      </c>
      <c r="I86" s="331">
        <f>H86*(100%+'Zmiany klimatu (GHG) samochody'!AB$106)</f>
        <v>0.13436730357090634</v>
      </c>
      <c r="J86" s="331">
        <f>I86*(100%+'Zmiany klimatu (GHG) samochody'!AC$106)</f>
        <v>0.14584591744379785</v>
      </c>
      <c r="K86" s="331">
        <f>J86*(100%+'Zmiany klimatu (GHG) samochody'!AD$106)</f>
        <v>0.15732453131668936</v>
      </c>
      <c r="L86" s="331">
        <f>K86*(100%+'Zmiany klimatu (GHG) samochody'!AE$106)</f>
        <v>0.16880314518958087</v>
      </c>
      <c r="M86" s="331">
        <f>L86*(100%+'Zmiany klimatu (GHG) samochody'!AF$106)</f>
        <v>0.18770909745081391</v>
      </c>
      <c r="N86" s="331">
        <f>M86*(100%+'Zmiany klimatu (GHG) samochody'!AG$106)</f>
        <v>0.20661504971204697</v>
      </c>
      <c r="O86" s="331">
        <f>N86*(100%+'Zmiany klimatu (GHG) samochody'!AH$106)</f>
        <v>0.22552100197328007</v>
      </c>
      <c r="P86" s="331">
        <f>O86*(100%+'Zmiany klimatu (GHG) samochody'!AI$106)</f>
        <v>0.24442695423451313</v>
      </c>
      <c r="Q86" s="331">
        <f>P86*(100%+'Zmiany klimatu (GHG) samochody'!AJ$106)</f>
        <v>0.2633329064957462</v>
      </c>
    </row>
    <row r="87" spans="1:17"/>
    <row r="88" spans="1:17">
      <c r="A88" s="189" t="s">
        <v>516</v>
      </c>
      <c r="B88" s="454"/>
      <c r="C88" s="454"/>
      <c r="D88" s="454"/>
      <c r="E88" s="454"/>
      <c r="F88" s="454"/>
      <c r="G88" s="454"/>
      <c r="H88" s="454"/>
      <c r="I88" s="454"/>
      <c r="J88" s="454"/>
      <c r="K88" s="454"/>
      <c r="L88" s="454"/>
      <c r="M88" s="454"/>
      <c r="N88" s="454"/>
      <c r="O88" s="454"/>
      <c r="P88" s="454"/>
      <c r="Q88" s="454"/>
    </row>
    <row r="89" spans="1:17">
      <c r="A89" s="711" t="s">
        <v>311</v>
      </c>
      <c r="B89" s="511" t="s">
        <v>221</v>
      </c>
      <c r="C89" s="6">
        <v>2022</v>
      </c>
      <c r="D89" s="6">
        <f>C89+1</f>
        <v>2023</v>
      </c>
      <c r="E89" s="6">
        <f t="shared" ref="E89:Q89" si="13">D89+1</f>
        <v>2024</v>
      </c>
      <c r="F89" s="6">
        <f t="shared" si="13"/>
        <v>2025</v>
      </c>
      <c r="G89" s="6">
        <f t="shared" si="13"/>
        <v>2026</v>
      </c>
      <c r="H89" s="6">
        <f t="shared" si="13"/>
        <v>2027</v>
      </c>
      <c r="I89" s="6">
        <f t="shared" si="13"/>
        <v>2028</v>
      </c>
      <c r="J89" s="6">
        <f t="shared" si="13"/>
        <v>2029</v>
      </c>
      <c r="K89" s="6">
        <f t="shared" si="13"/>
        <v>2030</v>
      </c>
      <c r="L89" s="6">
        <f t="shared" si="13"/>
        <v>2031</v>
      </c>
      <c r="M89" s="6">
        <f t="shared" si="13"/>
        <v>2032</v>
      </c>
      <c r="N89" s="6">
        <f t="shared" si="13"/>
        <v>2033</v>
      </c>
      <c r="O89" s="6">
        <f t="shared" si="13"/>
        <v>2034</v>
      </c>
      <c r="P89" s="6">
        <f t="shared" si="13"/>
        <v>2035</v>
      </c>
      <c r="Q89" s="6">
        <f t="shared" si="13"/>
        <v>2036</v>
      </c>
    </row>
    <row r="90" spans="1:17">
      <c r="A90" s="712"/>
      <c r="B90" s="512" t="s">
        <v>315</v>
      </c>
      <c r="C90" s="506">
        <f>DATE(2021,12,31)</f>
        <v>44561</v>
      </c>
      <c r="D90" s="506">
        <f>DATE(YEAR(C90+1),12,31)</f>
        <v>44926</v>
      </c>
      <c r="E90" s="506">
        <f t="shared" ref="E90:Q90" si="14">DATE(YEAR(D90+1),12,31)</f>
        <v>45291</v>
      </c>
      <c r="F90" s="506">
        <f t="shared" si="14"/>
        <v>45657</v>
      </c>
      <c r="G90" s="506">
        <f t="shared" si="14"/>
        <v>46022</v>
      </c>
      <c r="H90" s="506">
        <f t="shared" si="14"/>
        <v>46387</v>
      </c>
      <c r="I90" s="506">
        <f t="shared" si="14"/>
        <v>46752</v>
      </c>
      <c r="J90" s="506">
        <f t="shared" si="14"/>
        <v>47118</v>
      </c>
      <c r="K90" s="506">
        <f t="shared" si="14"/>
        <v>47483</v>
      </c>
      <c r="L90" s="506">
        <f t="shared" si="14"/>
        <v>47848</v>
      </c>
      <c r="M90" s="506">
        <f t="shared" si="14"/>
        <v>48213</v>
      </c>
      <c r="N90" s="506">
        <f t="shared" si="14"/>
        <v>48579</v>
      </c>
      <c r="O90" s="506">
        <f t="shared" si="14"/>
        <v>48944</v>
      </c>
      <c r="P90" s="506">
        <f t="shared" si="14"/>
        <v>49309</v>
      </c>
      <c r="Q90" s="506">
        <f t="shared" si="14"/>
        <v>49674</v>
      </c>
    </row>
    <row r="91" spans="1:17" s="454" customFormat="1">
      <c r="A91" s="493" t="s">
        <v>49</v>
      </c>
      <c r="B91" s="487"/>
      <c r="C91" s="407"/>
      <c r="D91" s="407"/>
      <c r="E91" s="407"/>
      <c r="F91" s="407"/>
      <c r="G91" s="407"/>
      <c r="H91" s="407"/>
      <c r="I91" s="407"/>
      <c r="J91" s="407"/>
      <c r="K91" s="407"/>
      <c r="L91" s="407"/>
      <c r="M91" s="407"/>
      <c r="N91" s="407"/>
      <c r="O91" s="407"/>
      <c r="P91" s="407"/>
      <c r="Q91" s="407"/>
    </row>
    <row r="92" spans="1:17" s="454" customFormat="1">
      <c r="A92" s="380" t="s">
        <v>168</v>
      </c>
      <c r="B92" s="331" t="s">
        <v>302</v>
      </c>
      <c r="C92" s="338">
        <f>F48</f>
        <v>8.4895028786141788E-2</v>
      </c>
      <c r="D92" s="339">
        <f>C92*Indeksacja!W$61</f>
        <v>8.7611100625145683E-2</v>
      </c>
      <c r="E92" s="331">
        <f>D92*Indeksacja!X$61</f>
        <v>9.0004322995778097E-2</v>
      </c>
      <c r="F92" s="331">
        <f>E92*Indeksacja!Y$61</f>
        <v>9.2331569303445576E-2</v>
      </c>
      <c r="G92" s="331">
        <f>F92*Indeksacja!Z$61</f>
        <v>9.4806723983758459E-2</v>
      </c>
      <c r="H92" s="331">
        <f>G92*Indeksacja!AA$61</f>
        <v>9.7286365869866942E-2</v>
      </c>
      <c r="I92" s="331">
        <f>H92*Indeksacja!AB$61</f>
        <v>9.9845489638808668E-2</v>
      </c>
      <c r="J92" s="331">
        <f>I92*Indeksacja!AC$61</f>
        <v>0.10240672957517845</v>
      </c>
      <c r="K92" s="331">
        <f>J92*Indeksacja!AD$61</f>
        <v>0.10496641479444292</v>
      </c>
      <c r="L92" s="331">
        <f>K92*Indeksacja!AE$61</f>
        <v>0.10752064194388904</v>
      </c>
      <c r="M92" s="331">
        <f>L92*Indeksacja!AF$61</f>
        <v>0.11015405689212272</v>
      </c>
      <c r="N92" s="331">
        <f>M92*Indeksacja!AG$61</f>
        <v>0.11277991829063744</v>
      </c>
      <c r="O92" s="331">
        <f>N92*Indeksacja!AH$61</f>
        <v>0.11548392787616632</v>
      </c>
      <c r="P92" s="331">
        <f>O92*Indeksacja!AI$61</f>
        <v>0.11817449444145238</v>
      </c>
      <c r="Q92" s="331">
        <f>P92*Indeksacja!AJ$61</f>
        <v>0.12084576390583601</v>
      </c>
    </row>
    <row r="93" spans="1:17" s="454" customFormat="1">
      <c r="A93" s="386" t="s">
        <v>188</v>
      </c>
      <c r="B93" s="331" t="s">
        <v>302</v>
      </c>
      <c r="C93" s="338">
        <f>F50</f>
        <v>0</v>
      </c>
      <c r="D93" s="339">
        <f>C93*(100%+'Zmiany klimatu (GHG) samochody'!W$106)*(100%+'Zmiany klimatu (GHG) samochody'!W$180)</f>
        <v>0</v>
      </c>
      <c r="E93" s="331">
        <f>D93*(100%+'Zmiany klimatu (GHG) samochody'!X$106)*(100%+'Zmiany klimatu (GHG) samochody'!X$180)</f>
        <v>0</v>
      </c>
      <c r="F93" s="331">
        <f>E93*(100%+'Zmiany klimatu (GHG) samochody'!Y$106)*(100%+'Zmiany klimatu (GHG) samochody'!Y$180)</f>
        <v>0</v>
      </c>
      <c r="G93" s="331">
        <f>F93*(100%+'Zmiany klimatu (GHG) samochody'!Z$106)*(100%+'Zmiany klimatu (GHG) samochody'!Z$180)</f>
        <v>0</v>
      </c>
      <c r="H93" s="331">
        <f>G93*(100%+'Zmiany klimatu (GHG) samochody'!AA$106)*(100%+'Zmiany klimatu (GHG) samochody'!AA$180)</f>
        <v>0</v>
      </c>
      <c r="I93" s="331">
        <f>H93*(100%+'Zmiany klimatu (GHG) samochody'!AB$106)*(100%+'Zmiany klimatu (GHG) samochody'!AB$180)</f>
        <v>0</v>
      </c>
      <c r="J93" s="331">
        <f>I93*(100%+'Zmiany klimatu (GHG) samochody'!AC$106)*(100%+'Zmiany klimatu (GHG) samochody'!AC$180)</f>
        <v>0</v>
      </c>
      <c r="K93" s="331">
        <f>J93*(100%+'Zmiany klimatu (GHG) samochody'!AD$106)*(100%+'Zmiany klimatu (GHG) samochody'!AD$180)</f>
        <v>0</v>
      </c>
      <c r="L93" s="331">
        <f>K93*(100%+'Zmiany klimatu (GHG) samochody'!AE$106)*(100%+'Zmiany klimatu (GHG) samochody'!AE$180)</f>
        <v>0</v>
      </c>
      <c r="M93" s="331">
        <f>L93*(100%+'Zmiany klimatu (GHG) samochody'!AF$106)*(100%+'Zmiany klimatu (GHG) samochody'!AF$180)</f>
        <v>0</v>
      </c>
      <c r="N93" s="331">
        <f>M93*(100%+'Zmiany klimatu (GHG) samochody'!AG$106)*(100%+'Zmiany klimatu (GHG) samochody'!AG$180)</f>
        <v>0</v>
      </c>
      <c r="O93" s="331">
        <f>N93*(100%+'Zmiany klimatu (GHG) samochody'!AH$106)*(100%+'Zmiany klimatu (GHG) samochody'!AH$180)</f>
        <v>0</v>
      </c>
      <c r="P93" s="331">
        <f>O93*(100%+'Zmiany klimatu (GHG) samochody'!AI$106)*(100%+'Zmiany klimatu (GHG) samochody'!AI$180)</f>
        <v>0</v>
      </c>
      <c r="Q93" s="331">
        <f>P93*(100%+'Zmiany klimatu (GHG) samochody'!AJ$106)*(100%+'Zmiany klimatu (GHG) samochody'!AJ$180)</f>
        <v>0</v>
      </c>
    </row>
    <row r="94" spans="1:17" s="454" customFormat="1">
      <c r="A94" s="493" t="s">
        <v>190</v>
      </c>
      <c r="B94" s="487"/>
      <c r="C94" s="407"/>
      <c r="D94" s="407"/>
      <c r="E94" s="407"/>
      <c r="F94" s="407"/>
      <c r="G94" s="407"/>
      <c r="H94" s="407"/>
      <c r="I94" s="407"/>
      <c r="J94" s="407"/>
      <c r="K94" s="407"/>
      <c r="L94" s="407"/>
      <c r="M94" s="407"/>
      <c r="N94" s="407"/>
      <c r="O94" s="407"/>
      <c r="P94" s="407"/>
      <c r="Q94" s="407"/>
    </row>
    <row r="95" spans="1:17">
      <c r="A95" s="380" t="s">
        <v>168</v>
      </c>
      <c r="B95" s="331" t="s">
        <v>302</v>
      </c>
      <c r="C95" s="338">
        <f>G48</f>
        <v>8.4895028786141788E-2</v>
      </c>
      <c r="D95" s="339">
        <f>C95*Indeksacja!W$61</f>
        <v>8.7611100625145683E-2</v>
      </c>
      <c r="E95" s="331">
        <f>D95*Indeksacja!X$61</f>
        <v>9.0004322995778097E-2</v>
      </c>
      <c r="F95" s="331">
        <f>E95*Indeksacja!Y$61</f>
        <v>9.2331569303445576E-2</v>
      </c>
      <c r="G95" s="331">
        <f>F95*Indeksacja!Z$61</f>
        <v>9.4806723983758459E-2</v>
      </c>
      <c r="H95" s="331">
        <f>G95*Indeksacja!AA$61</f>
        <v>9.7286365869866942E-2</v>
      </c>
      <c r="I95" s="331">
        <f>H95*Indeksacja!AB$61</f>
        <v>9.9845489638808668E-2</v>
      </c>
      <c r="J95" s="331">
        <f>I95*Indeksacja!AC$61</f>
        <v>0.10240672957517845</v>
      </c>
      <c r="K95" s="331">
        <f>J95*Indeksacja!AD$61</f>
        <v>0.10496641479444292</v>
      </c>
      <c r="L95" s="331">
        <f>K95*Indeksacja!AE$61</f>
        <v>0.10752064194388904</v>
      </c>
      <c r="M95" s="331">
        <f>L95*Indeksacja!AF$61</f>
        <v>0.11015405689212272</v>
      </c>
      <c r="N95" s="331">
        <f>M95*Indeksacja!AG$61</f>
        <v>0.11277991829063744</v>
      </c>
      <c r="O95" s="331">
        <f>N95*Indeksacja!AH$61</f>
        <v>0.11548392787616632</v>
      </c>
      <c r="P95" s="331">
        <f>O95*Indeksacja!AI$61</f>
        <v>0.11817449444145238</v>
      </c>
      <c r="Q95" s="331">
        <f>P95*Indeksacja!AJ$61</f>
        <v>0.12084576390583601</v>
      </c>
    </row>
    <row r="96" spans="1:17">
      <c r="A96" s="386" t="s">
        <v>188</v>
      </c>
      <c r="B96" s="331" t="s">
        <v>302</v>
      </c>
      <c r="C96" s="338">
        <f>G50</f>
        <v>1.2639282970705899E-2</v>
      </c>
      <c r="D96" s="339">
        <f>C96*(100%+'Zmiany klimatu (GHG) samochody'!W$106)</f>
        <v>1.4854415037736834E-2</v>
      </c>
      <c r="E96" s="331">
        <f>D96*(100%+'Zmiany klimatu (GHG) samochody'!X$106)</f>
        <v>1.7069547104767761E-2</v>
      </c>
      <c r="F96" s="331">
        <f>E96*(100%+'Zmiany klimatu (GHG) samochody'!Y$106)</f>
        <v>1.9284679171798692E-2</v>
      </c>
      <c r="G96" s="331">
        <f>F96*(100%+'Zmiany klimatu (GHG) samochody'!Z$106)</f>
        <v>2.1499811238829623E-2</v>
      </c>
      <c r="H96" s="331">
        <f>G96*(100%+'Zmiany klimatu (GHG) samochody'!AA$106)</f>
        <v>2.3714943305860554E-2</v>
      </c>
      <c r="I96" s="331">
        <f>H96*(100%+'Zmiany klimatu (GHG) samochody'!AB$106)</f>
        <v>2.5930075372891482E-2</v>
      </c>
      <c r="J96" s="331">
        <f>I96*(100%+'Zmiany klimatu (GHG) samochody'!AC$106)</f>
        <v>2.8145207439922413E-2</v>
      </c>
      <c r="K96" s="331">
        <f>J96*(100%+'Zmiany klimatu (GHG) samochody'!AD$106)</f>
        <v>3.0360339506953344E-2</v>
      </c>
      <c r="L96" s="331">
        <f>K96*(100%+'Zmiany klimatu (GHG) samochody'!AE$106)</f>
        <v>3.2575471573984278E-2</v>
      </c>
      <c r="M96" s="331">
        <f>L96*(100%+'Zmiany klimatu (GHG) samochody'!AF$106)</f>
        <v>3.6223924390270515E-2</v>
      </c>
      <c r="N96" s="331">
        <f>M96*(100%+'Zmiany klimatu (GHG) samochody'!AG$106)</f>
        <v>3.9872377206556758E-2</v>
      </c>
      <c r="O96" s="331">
        <f>N96*(100%+'Zmiany klimatu (GHG) samochody'!AH$106)</f>
        <v>4.3520830022843002E-2</v>
      </c>
      <c r="P96" s="331">
        <f>O96*(100%+'Zmiany klimatu (GHG) samochody'!AI$106)</f>
        <v>4.7169282839129238E-2</v>
      </c>
      <c r="Q96" s="331">
        <f>P96*(100%+'Zmiany klimatu (GHG) samochody'!AJ$106)</f>
        <v>5.0817735655415482E-2</v>
      </c>
    </row>
    <row r="97"/>
    <row r="98" hidden="1"/>
    <row r="99" hidden="1"/>
  </sheetData>
  <mergeCells count="28">
    <mergeCell ref="N45:O45"/>
    <mergeCell ref="F6:G6"/>
    <mergeCell ref="B5:J5"/>
    <mergeCell ref="B44:J44"/>
    <mergeCell ref="F45:G45"/>
    <mergeCell ref="H45:J45"/>
    <mergeCell ref="K45:M45"/>
    <mergeCell ref="K5:Q5"/>
    <mergeCell ref="N6:O6"/>
    <mergeCell ref="K44:Q44"/>
    <mergeCell ref="H6:J6"/>
    <mergeCell ref="K6:M6"/>
    <mergeCell ref="A83:A84"/>
    <mergeCell ref="A89:A90"/>
    <mergeCell ref="A44:A47"/>
    <mergeCell ref="B45:E45"/>
    <mergeCell ref="A5:A8"/>
    <mergeCell ref="B6:E6"/>
    <mergeCell ref="A32:F33"/>
    <mergeCell ref="A58:F59"/>
    <mergeCell ref="A60:F61"/>
    <mergeCell ref="A62:F64"/>
    <mergeCell ref="A65:F66"/>
    <mergeCell ref="A68:F69"/>
    <mergeCell ref="A71:F72"/>
    <mergeCell ref="A75:F76"/>
    <mergeCell ref="A77:F78"/>
    <mergeCell ref="A79:F80"/>
  </mergeCells>
  <hyperlinks>
    <hyperlink ref="A70" location="'Zmiany klimatu (GHG) samochody'!A107" display="Zmiany kosztu jednostkowego CO2 po roku bazowym"/>
    <hyperlink ref="A73" location="'Zmiany klimatu (GHG) pociągi'!A98" display="Zmiany wskaźnika emisji CO2 po roku bazowym"/>
    <hyperlink ref="A67" location="Indeksacja!A61" display="Indeksacja ECT 2019 po roku bazowym"/>
    <hyperlink ref="A34" location="Indeksacja!A29" display="Nota metodologiczna"/>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40"/>
  <sheetViews>
    <sheetView workbookViewId="0">
      <pane ySplit="1" topLeftCell="A2" activePane="bottomLeft" state="frozen"/>
      <selection pane="bottomLeft" activeCell="A2" sqref="A2"/>
    </sheetView>
  </sheetViews>
  <sheetFormatPr defaultColWidth="0" defaultRowHeight="15" zeroHeight="1" outlineLevelRow="1"/>
  <cols>
    <col min="1" max="1" width="58" customWidth="1"/>
    <col min="2" max="2" width="12.7109375" style="527" customWidth="1"/>
    <col min="3" max="3" width="10.7109375" customWidth="1"/>
    <col min="4" max="4" width="15.7109375" customWidth="1"/>
    <col min="5" max="19" width="12.7109375" customWidth="1"/>
    <col min="20" max="22" width="12.7109375" style="618" customWidth="1"/>
    <col min="23" max="23" width="12.7109375" customWidth="1"/>
    <col min="24" max="24" width="12.7109375" hidden="1" customWidth="1"/>
    <col min="25" max="16384" width="9.140625" hidden="1"/>
  </cols>
  <sheetData>
    <row r="1" spans="1:23" s="525" customFormat="1">
      <c r="A1" s="525" t="s">
        <v>538</v>
      </c>
      <c r="B1" s="526" t="s">
        <v>231</v>
      </c>
      <c r="E1" s="525">
        <v>2022</v>
      </c>
      <c r="F1" s="525">
        <v>2023</v>
      </c>
      <c r="G1" s="525">
        <v>2024</v>
      </c>
      <c r="H1" s="525">
        <v>2025</v>
      </c>
      <c r="I1" s="525">
        <v>2026</v>
      </c>
      <c r="J1" s="525">
        <v>2027</v>
      </c>
      <c r="K1" s="525">
        <v>2028</v>
      </c>
      <c r="L1" s="525">
        <v>2029</v>
      </c>
      <c r="M1" s="525">
        <v>2030</v>
      </c>
      <c r="N1" s="525">
        <v>2031</v>
      </c>
      <c r="O1" s="525">
        <v>2032</v>
      </c>
      <c r="P1" s="525">
        <v>2033</v>
      </c>
      <c r="Q1" s="525">
        <v>2034</v>
      </c>
      <c r="R1" s="525">
        <v>2035</v>
      </c>
      <c r="S1" s="525">
        <v>2036</v>
      </c>
      <c r="T1" s="525">
        <v>2037</v>
      </c>
      <c r="U1" s="525">
        <v>2038</v>
      </c>
      <c r="V1" s="525">
        <v>2039</v>
      </c>
    </row>
    <row r="2" spans="1:23"/>
    <row r="3" spans="1:23" s="524" customFormat="1">
      <c r="A3" s="524" t="s">
        <v>541</v>
      </c>
      <c r="B3" s="527"/>
      <c r="D3" s="629" t="s">
        <v>695</v>
      </c>
      <c r="E3" s="629"/>
      <c r="F3" s="629"/>
      <c r="G3" s="629"/>
      <c r="H3" s="629"/>
      <c r="T3" s="618"/>
      <c r="U3" s="618"/>
      <c r="V3" s="618"/>
    </row>
    <row r="4" spans="1:23" s="524" customFormat="1">
      <c r="B4" s="527"/>
      <c r="T4" s="618"/>
      <c r="U4" s="618"/>
      <c r="V4" s="618"/>
    </row>
    <row r="5" spans="1:23" s="531" customFormat="1">
      <c r="A5" s="531" t="s">
        <v>566</v>
      </c>
      <c r="B5" s="527" t="s">
        <v>275</v>
      </c>
      <c r="D5" s="543">
        <v>0.03</v>
      </c>
      <c r="T5" s="618"/>
      <c r="U5" s="618"/>
      <c r="V5" s="618"/>
    </row>
    <row r="6" spans="1:23" s="618" customFormat="1">
      <c r="B6" s="527"/>
      <c r="E6" s="428"/>
      <c r="F6" s="428"/>
      <c r="G6" s="428"/>
      <c r="H6" s="428"/>
      <c r="I6" s="428"/>
      <c r="J6" s="428"/>
      <c r="K6" s="428"/>
      <c r="L6" s="428"/>
      <c r="M6" s="428"/>
      <c r="N6" s="428"/>
      <c r="O6" s="428"/>
      <c r="P6" s="428"/>
      <c r="Q6" s="428"/>
      <c r="R6" s="428"/>
      <c r="S6" s="428"/>
      <c r="T6" s="428"/>
      <c r="U6" s="428"/>
      <c r="V6" s="428"/>
      <c r="W6" s="428"/>
    </row>
    <row r="7" spans="1:23" s="618" customFormat="1">
      <c r="A7" s="618" t="s">
        <v>696</v>
      </c>
      <c r="B7" s="527" t="s">
        <v>540</v>
      </c>
      <c r="C7" s="178"/>
      <c r="D7" s="617">
        <v>2022</v>
      </c>
      <c r="E7" s="428"/>
      <c r="F7" s="428"/>
      <c r="G7" s="428"/>
      <c r="H7" s="428"/>
      <c r="I7" s="428"/>
      <c r="J7" s="428"/>
      <c r="K7" s="428"/>
      <c r="L7" s="428"/>
      <c r="M7" s="428"/>
      <c r="N7" s="428"/>
      <c r="O7" s="428"/>
      <c r="P7" s="428"/>
      <c r="Q7" s="428"/>
      <c r="R7" s="428"/>
      <c r="S7" s="428"/>
      <c r="T7" s="428"/>
      <c r="U7" s="428"/>
      <c r="V7" s="428"/>
      <c r="W7" s="428"/>
    </row>
    <row r="8" spans="1:23" s="618" customFormat="1" hidden="1" outlineLevel="1">
      <c r="A8" s="618" t="s">
        <v>539</v>
      </c>
      <c r="B8" s="527" t="s">
        <v>540</v>
      </c>
      <c r="D8" s="618">
        <v>15</v>
      </c>
      <c r="E8" s="428"/>
      <c r="F8" s="428"/>
      <c r="G8" s="428"/>
      <c r="H8" s="428"/>
      <c r="I8" s="428"/>
      <c r="J8" s="428"/>
      <c r="K8" s="428"/>
      <c r="L8" s="428"/>
      <c r="M8" s="428"/>
      <c r="N8" s="428"/>
      <c r="O8" s="428"/>
      <c r="P8" s="428"/>
      <c r="Q8" s="428"/>
      <c r="R8" s="428"/>
      <c r="S8" s="428"/>
      <c r="T8" s="428"/>
      <c r="U8" s="428"/>
      <c r="V8" s="428"/>
      <c r="W8" s="428"/>
    </row>
    <row r="9" spans="1:23" s="618" customFormat="1" hidden="1" outlineLevel="1">
      <c r="A9" s="618" t="s">
        <v>697</v>
      </c>
      <c r="B9" s="527" t="s">
        <v>540</v>
      </c>
      <c r="D9" s="618">
        <f>D7+D8-1</f>
        <v>2036</v>
      </c>
      <c r="E9" s="428"/>
      <c r="F9" s="428"/>
      <c r="G9" s="428"/>
      <c r="H9" s="428"/>
      <c r="I9" s="428"/>
      <c r="J9" s="428"/>
      <c r="K9" s="428"/>
      <c r="L9" s="428"/>
      <c r="M9" s="428"/>
      <c r="N9" s="428"/>
      <c r="O9" s="428"/>
      <c r="P9" s="428"/>
      <c r="Q9" s="428"/>
      <c r="R9" s="428"/>
      <c r="S9" s="428"/>
      <c r="T9" s="428"/>
      <c r="U9" s="428"/>
      <c r="V9" s="428"/>
      <c r="W9" s="428"/>
    </row>
    <row r="10" spans="1:23" s="618" customFormat="1" hidden="1" outlineLevel="1">
      <c r="A10" s="618" t="s">
        <v>698</v>
      </c>
      <c r="B10" s="527" t="s">
        <v>540</v>
      </c>
      <c r="E10" s="621">
        <f>IF(((E1&gt;=$D$7)*(E1-$D$7))&gt;=$D$8,"nie wliczać",(E1&gt;=$D$7)*(E1-$D$7+1))</f>
        <v>1</v>
      </c>
      <c r="F10" s="621">
        <f t="shared" ref="F10:V10" si="0">IF(((F1&gt;=$D$7)*(F1-$D$7))&gt;=$D$8,"nie wliczać",(F1&gt;=$D$7)*(F1-$D$7+1))</f>
        <v>2</v>
      </c>
      <c r="G10" s="621">
        <f t="shared" si="0"/>
        <v>3</v>
      </c>
      <c r="H10" s="621">
        <f t="shared" si="0"/>
        <v>4</v>
      </c>
      <c r="I10" s="621">
        <f t="shared" si="0"/>
        <v>5</v>
      </c>
      <c r="J10" s="621">
        <f t="shared" si="0"/>
        <v>6</v>
      </c>
      <c r="K10" s="621">
        <f t="shared" si="0"/>
        <v>7</v>
      </c>
      <c r="L10" s="621">
        <f t="shared" si="0"/>
        <v>8</v>
      </c>
      <c r="M10" s="621">
        <f t="shared" si="0"/>
        <v>9</v>
      </c>
      <c r="N10" s="621">
        <f t="shared" si="0"/>
        <v>10</v>
      </c>
      <c r="O10" s="621">
        <f t="shared" si="0"/>
        <v>11</v>
      </c>
      <c r="P10" s="621">
        <f t="shared" si="0"/>
        <v>12</v>
      </c>
      <c r="Q10" s="621">
        <f t="shared" si="0"/>
        <v>13</v>
      </c>
      <c r="R10" s="621">
        <f t="shared" si="0"/>
        <v>14</v>
      </c>
      <c r="S10" s="621">
        <f t="shared" si="0"/>
        <v>15</v>
      </c>
      <c r="T10" s="621" t="str">
        <f t="shared" si="0"/>
        <v>nie wliczać</v>
      </c>
      <c r="U10" s="621" t="str">
        <f t="shared" si="0"/>
        <v>nie wliczać</v>
      </c>
      <c r="V10" s="621" t="str">
        <f t="shared" si="0"/>
        <v>nie wliczać</v>
      </c>
      <c r="W10" s="619"/>
    </row>
    <row r="11" spans="1:23" s="618" customFormat="1" hidden="1" outlineLevel="1">
      <c r="A11" s="618" t="s">
        <v>567</v>
      </c>
      <c r="B11" s="527" t="s">
        <v>699</v>
      </c>
      <c r="E11" s="428">
        <f>IFERROR(1/(1+$D$5)^E10,0)</f>
        <v>0.970873786407767</v>
      </c>
      <c r="F11" s="428">
        <f t="shared" ref="F11:V11" si="1">IFERROR(1/(1+$D$5)^F10,0)</f>
        <v>0.94259590913375435</v>
      </c>
      <c r="G11" s="428">
        <f t="shared" si="1"/>
        <v>0.91514165935315961</v>
      </c>
      <c r="H11" s="428">
        <f t="shared" si="1"/>
        <v>0.888487047915689</v>
      </c>
      <c r="I11" s="428">
        <f t="shared" si="1"/>
        <v>0.86260878438416411</v>
      </c>
      <c r="J11" s="428">
        <f t="shared" si="1"/>
        <v>0.83748425668365445</v>
      </c>
      <c r="K11" s="428">
        <f t="shared" si="1"/>
        <v>0.81309151134335378</v>
      </c>
      <c r="L11" s="428">
        <f t="shared" si="1"/>
        <v>0.78940923431393573</v>
      </c>
      <c r="M11" s="428">
        <f t="shared" si="1"/>
        <v>0.76641673234362695</v>
      </c>
      <c r="N11" s="428">
        <f t="shared" si="1"/>
        <v>0.74409391489672516</v>
      </c>
      <c r="O11" s="428">
        <f t="shared" si="1"/>
        <v>0.72242127659876232</v>
      </c>
      <c r="P11" s="428">
        <f t="shared" si="1"/>
        <v>0.70137988019297326</v>
      </c>
      <c r="Q11" s="428">
        <f t="shared" si="1"/>
        <v>0.68095133999317792</v>
      </c>
      <c r="R11" s="428">
        <f t="shared" si="1"/>
        <v>0.66111780581861923</v>
      </c>
      <c r="S11" s="428">
        <f t="shared" si="1"/>
        <v>0.64186194739671765</v>
      </c>
      <c r="T11" s="428">
        <f t="shared" si="1"/>
        <v>0</v>
      </c>
      <c r="U11" s="428">
        <f t="shared" si="1"/>
        <v>0</v>
      </c>
      <c r="V11" s="428">
        <f t="shared" si="1"/>
        <v>0</v>
      </c>
      <c r="W11" s="428"/>
    </row>
    <row r="12" spans="1:23" s="178" customFormat="1" collapsed="1">
      <c r="B12" s="538"/>
    </row>
    <row r="13" spans="1:23">
      <c r="A13" s="131" t="s">
        <v>542</v>
      </c>
    </row>
    <row r="14" spans="1:23" s="524" customFormat="1">
      <c r="A14" s="91" t="s">
        <v>605</v>
      </c>
      <c r="B14" s="527"/>
      <c r="D14" s="408" t="s">
        <v>548</v>
      </c>
      <c r="E14" s="593" t="s">
        <v>549</v>
      </c>
      <c r="F14" s="593" t="s">
        <v>550</v>
      </c>
      <c r="H14" s="630" t="str">
        <f>Wstęp!$B$14</f>
        <v xml:space="preserve">Trasa istniejąca to trasa, po której w wariancie bezinwestycyjnym poruszają się pojazdy dotychczasowe (podlegające wymianie: Diesel), a w wariancie inwestycyjnym – pojazdy nowe (zakupywane: Diesel EURO VI, CNG, LPG/LNG, elektryczne, hybrydowe Diesel/elektryczne). </v>
      </c>
      <c r="I14" s="630"/>
      <c r="J14" s="630"/>
      <c r="K14" s="630"/>
      <c r="L14" s="630"/>
      <c r="M14" s="630"/>
      <c r="N14" s="630"/>
      <c r="T14" s="618"/>
      <c r="U14" s="618"/>
      <c r="V14" s="618"/>
    </row>
    <row r="15" spans="1:23" s="541" customFormat="1">
      <c r="A15" s="502" t="s">
        <v>609</v>
      </c>
      <c r="B15" s="527"/>
      <c r="D15" s="540" t="s">
        <v>610</v>
      </c>
      <c r="E15" s="589" t="s">
        <v>610</v>
      </c>
      <c r="F15" s="589" t="s">
        <v>614</v>
      </c>
      <c r="H15" s="630"/>
      <c r="I15" s="630"/>
      <c r="J15" s="630"/>
      <c r="K15" s="630"/>
      <c r="L15" s="630"/>
      <c r="M15" s="630"/>
      <c r="N15" s="630"/>
      <c r="T15" s="618"/>
      <c r="U15" s="618"/>
      <c r="V15" s="618"/>
    </row>
    <row r="16" spans="1:23" s="579" customFormat="1">
      <c r="A16" s="502"/>
      <c r="B16" s="527"/>
      <c r="H16" s="630"/>
      <c r="I16" s="630"/>
      <c r="J16" s="630"/>
      <c r="K16" s="630"/>
      <c r="L16" s="630"/>
      <c r="M16" s="630"/>
      <c r="N16" s="630"/>
      <c r="T16" s="618"/>
      <c r="U16" s="618"/>
      <c r="V16" s="618"/>
    </row>
    <row r="17" spans="1:22" s="579" customFormat="1">
      <c r="A17" s="91" t="s">
        <v>618</v>
      </c>
      <c r="B17" s="527"/>
      <c r="D17" s="408" t="s">
        <v>624</v>
      </c>
      <c r="E17" s="592" t="s">
        <v>623</v>
      </c>
      <c r="F17" s="592" t="s">
        <v>625</v>
      </c>
      <c r="H17" s="605"/>
      <c r="I17" s="605"/>
      <c r="J17" s="605"/>
      <c r="K17" s="605"/>
      <c r="L17" s="605"/>
      <c r="M17" s="605"/>
      <c r="N17" s="605"/>
      <c r="T17" s="618"/>
      <c r="U17" s="618"/>
      <c r="V17" s="618"/>
    </row>
    <row r="18" spans="1:22" s="572" customFormat="1">
      <c r="A18" s="502" t="s">
        <v>609</v>
      </c>
      <c r="B18" s="527"/>
      <c r="D18" s="606" t="s">
        <v>614</v>
      </c>
      <c r="E18" s="606" t="s">
        <v>614</v>
      </c>
      <c r="F18" s="606" t="s">
        <v>614</v>
      </c>
      <c r="H18" s="630" t="str">
        <f>Wstęp!$B$15</f>
        <v xml:space="preserve">Na zakładce "Założenia" w wierszach 15, 18, 20, 22, 24, 26 należy wskazać, czy dany typ pojazdu występuje ("TAK"/"NIE"). Dla każdego rodzaju napędu możliwe jest wskazanie maksymalnie trzech typów pojazdów (różne kategorie EURO, różne parametry spalania lub zużycia energii). </v>
      </c>
      <c r="I18" s="630"/>
      <c r="J18" s="630"/>
      <c r="K18" s="630"/>
      <c r="L18" s="630"/>
      <c r="M18" s="630"/>
      <c r="N18" s="630"/>
      <c r="T18" s="618"/>
      <c r="U18" s="618"/>
      <c r="V18" s="618"/>
    </row>
    <row r="19" spans="1:22" s="541" customFormat="1">
      <c r="A19" s="91" t="s">
        <v>606</v>
      </c>
      <c r="B19" s="527"/>
      <c r="D19" s="592" t="s">
        <v>568</v>
      </c>
      <c r="E19" s="592" t="s">
        <v>569</v>
      </c>
      <c r="F19" s="592" t="s">
        <v>570</v>
      </c>
      <c r="H19" s="630"/>
      <c r="I19" s="630"/>
      <c r="J19" s="630"/>
      <c r="K19" s="630"/>
      <c r="L19" s="630"/>
      <c r="M19" s="630"/>
      <c r="N19" s="630"/>
      <c r="T19" s="618"/>
      <c r="U19" s="618"/>
      <c r="V19" s="618"/>
    </row>
    <row r="20" spans="1:22" s="544" customFormat="1">
      <c r="A20" s="502" t="s">
        <v>609</v>
      </c>
      <c r="B20" s="527"/>
      <c r="D20" s="606" t="s">
        <v>610</v>
      </c>
      <c r="E20" s="606" t="s">
        <v>614</v>
      </c>
      <c r="F20" s="606" t="s">
        <v>614</v>
      </c>
      <c r="H20" s="630"/>
      <c r="I20" s="630"/>
      <c r="J20" s="630"/>
      <c r="K20" s="630"/>
      <c r="L20" s="630"/>
      <c r="M20" s="630"/>
      <c r="N20" s="630"/>
      <c r="T20" s="618"/>
      <c r="U20" s="618"/>
      <c r="V20" s="618"/>
    </row>
    <row r="21" spans="1:22" s="572" customFormat="1">
      <c r="A21" s="91" t="s">
        <v>607</v>
      </c>
      <c r="B21" s="527"/>
      <c r="D21" s="592" t="s">
        <v>611</v>
      </c>
      <c r="E21" s="592" t="s">
        <v>612</v>
      </c>
      <c r="F21" s="592" t="s">
        <v>613</v>
      </c>
      <c r="H21" s="605"/>
      <c r="I21" s="605"/>
      <c r="J21" s="605"/>
      <c r="K21" s="605"/>
      <c r="L21" s="605"/>
      <c r="M21" s="605"/>
      <c r="N21" s="605"/>
      <c r="T21" s="618"/>
      <c r="U21" s="618"/>
      <c r="V21" s="618"/>
    </row>
    <row r="22" spans="1:22" s="572" customFormat="1">
      <c r="A22" s="502" t="s">
        <v>609</v>
      </c>
      <c r="B22" s="527"/>
      <c r="D22" s="606" t="s">
        <v>614</v>
      </c>
      <c r="E22" s="606" t="s">
        <v>614</v>
      </c>
      <c r="F22" s="606" t="s">
        <v>614</v>
      </c>
      <c r="H22" s="630" t="str">
        <f>Wstęp!$B$16</f>
        <v xml:space="preserve">Konieczne jest również wskazanie rocznej pracy eksploatacyjnej (wozokm) oraz podziału pracy eksploatacyjnej na poszczególne typy pojazdów. </v>
      </c>
      <c r="I22" s="630"/>
      <c r="J22" s="630"/>
      <c r="K22" s="630"/>
      <c r="L22" s="630"/>
      <c r="M22" s="630"/>
      <c r="N22" s="630"/>
      <c r="T22" s="618"/>
      <c r="U22" s="618"/>
      <c r="V22" s="618"/>
    </row>
    <row r="23" spans="1:22" s="524" customFormat="1">
      <c r="A23" s="91" t="s">
        <v>608</v>
      </c>
      <c r="B23" s="527"/>
      <c r="D23" s="593" t="s">
        <v>574</v>
      </c>
      <c r="E23" s="593" t="s">
        <v>575</v>
      </c>
      <c r="F23" s="593" t="s">
        <v>576</v>
      </c>
      <c r="H23" s="630"/>
      <c r="I23" s="630"/>
      <c r="J23" s="630"/>
      <c r="K23" s="630"/>
      <c r="L23" s="630"/>
      <c r="M23" s="630"/>
      <c r="N23" s="630"/>
      <c r="T23" s="618"/>
      <c r="U23" s="618"/>
      <c r="V23" s="618"/>
    </row>
    <row r="24" spans="1:22" s="531" customFormat="1">
      <c r="A24" s="502" t="s">
        <v>609</v>
      </c>
      <c r="B24" s="527"/>
      <c r="D24" s="606" t="s">
        <v>610</v>
      </c>
      <c r="E24" s="606" t="s">
        <v>610</v>
      </c>
      <c r="F24" s="606" t="s">
        <v>614</v>
      </c>
      <c r="H24" s="605"/>
      <c r="I24" s="605"/>
      <c r="J24" s="605"/>
      <c r="K24" s="605"/>
      <c r="L24" s="605"/>
      <c r="M24" s="605"/>
      <c r="N24" s="605"/>
      <c r="T24" s="618"/>
      <c r="U24" s="618"/>
      <c r="V24" s="618"/>
    </row>
    <row r="25" spans="1:22" s="579" customFormat="1">
      <c r="A25" s="91" t="s">
        <v>619</v>
      </c>
      <c r="B25" s="527"/>
      <c r="C25" s="178"/>
      <c r="D25" s="592" t="s">
        <v>620</v>
      </c>
      <c r="E25" s="592" t="s">
        <v>621</v>
      </c>
      <c r="F25" s="592" t="s">
        <v>622</v>
      </c>
      <c r="H25" s="630" t="str">
        <f>Wstęp!$B$17</f>
        <v xml:space="preserve">Hiperłącza dla poszczególnych typów pojazdów przenoszą do odpowiedniego miejsca na zakładkach "Emisje W0 trasa istniejąca" oraz "Emisje WI trasa istniejąca". </v>
      </c>
      <c r="I25" s="630"/>
      <c r="J25" s="630"/>
      <c r="K25" s="630"/>
      <c r="L25" s="630"/>
      <c r="M25" s="630"/>
      <c r="N25" s="630"/>
      <c r="T25" s="618"/>
      <c r="U25" s="618"/>
      <c r="V25" s="618"/>
    </row>
    <row r="26" spans="1:22" s="579" customFormat="1">
      <c r="A26" s="502" t="s">
        <v>609</v>
      </c>
      <c r="B26" s="527"/>
      <c r="D26" s="606" t="s">
        <v>614</v>
      </c>
      <c r="E26" s="606" t="s">
        <v>614</v>
      </c>
      <c r="F26" s="606" t="s">
        <v>614</v>
      </c>
      <c r="H26" s="630"/>
      <c r="I26" s="630"/>
      <c r="J26" s="630"/>
      <c r="K26" s="630"/>
      <c r="L26" s="630"/>
      <c r="M26" s="630"/>
      <c r="N26" s="630"/>
      <c r="T26" s="618"/>
      <c r="U26" s="618"/>
      <c r="V26" s="618"/>
    </row>
    <row r="27" spans="1:22" s="572" customFormat="1">
      <c r="A27" s="502"/>
      <c r="B27" s="527"/>
      <c r="H27" s="605"/>
      <c r="I27" s="605"/>
      <c r="J27" s="605"/>
      <c r="K27" s="605"/>
      <c r="L27" s="605"/>
      <c r="M27" s="605"/>
      <c r="N27" s="605"/>
      <c r="T27" s="618"/>
      <c r="U27" s="618"/>
      <c r="V27" s="618"/>
    </row>
    <row r="28" spans="1:22">
      <c r="A28" s="608" t="s">
        <v>672</v>
      </c>
      <c r="B28" s="527" t="s">
        <v>543</v>
      </c>
      <c r="C28" s="625" t="str">
        <f>IF(OR(D15=$C$134,E15=$C$134,F15=$C$134),$C$134,$C$135)</f>
        <v>TAK</v>
      </c>
      <c r="D28" s="535">
        <v>800000</v>
      </c>
      <c r="E28" s="626" t="str">
        <f>IF(OR(AND(C28=$C$134,D28&gt;0),AND(C28=$C$135,D28=0)),$E$134,$E$135)</f>
        <v>OK</v>
      </c>
      <c r="H28" s="630" t="str">
        <f>Wstęp!$B$18</f>
        <v xml:space="preserve">Należy tam wskazać kategorię EURO i parametry spalania lub zużycia energii dla typów pojazdów, które występują w projekcie ("TAK"). </v>
      </c>
      <c r="I28" s="630"/>
      <c r="J28" s="630"/>
      <c r="K28" s="630"/>
      <c r="L28" s="630"/>
      <c r="M28" s="630"/>
      <c r="N28" s="630"/>
    </row>
    <row r="29" spans="1:22">
      <c r="A29" s="608" t="s">
        <v>673</v>
      </c>
      <c r="B29" s="527" t="s">
        <v>158</v>
      </c>
      <c r="C29" s="625" t="str">
        <f>C28</f>
        <v>TAK</v>
      </c>
      <c r="D29" s="425">
        <v>10</v>
      </c>
      <c r="E29" s="626" t="str">
        <f>IF(OR(AND(C29=$C$134,D29&gt;0),AND(C29=$C$135,D29=0)),$E$134,$E$135)</f>
        <v>OK</v>
      </c>
      <c r="H29" s="630"/>
      <c r="I29" s="630"/>
      <c r="J29" s="630"/>
      <c r="K29" s="630"/>
      <c r="L29" s="630"/>
      <c r="M29" s="630"/>
      <c r="N29" s="630"/>
    </row>
    <row r="30" spans="1:22" ht="30" customHeight="1">
      <c r="A30" s="607" t="s">
        <v>674</v>
      </c>
      <c r="B30" s="527" t="s">
        <v>275</v>
      </c>
      <c r="C30" s="626"/>
      <c r="D30" s="529">
        <f>SUM(D31:D33)</f>
        <v>1</v>
      </c>
      <c r="E30" s="627" t="b">
        <f>D30=100%</f>
        <v>1</v>
      </c>
      <c r="H30" s="630" t="str">
        <f>Wstęp!$B$19</f>
        <v xml:space="preserve">Założenia te pozwolą wyliczyć emisje (t/km), które następnie arkusz przeliczy przez koszty jednostkowe (PLN/t) oraz wozokilometry, uzyskując koszty emisji (PLN). </v>
      </c>
      <c r="I30" s="630"/>
      <c r="J30" s="630"/>
      <c r="K30" s="630"/>
      <c r="L30" s="630"/>
      <c r="M30" s="630"/>
      <c r="N30" s="630"/>
    </row>
    <row r="31" spans="1:22">
      <c r="A31" s="140" t="s">
        <v>544</v>
      </c>
      <c r="C31" s="625" t="str">
        <f>D15</f>
        <v>TAK</v>
      </c>
      <c r="D31" s="536">
        <v>0.3</v>
      </c>
      <c r="E31" s="626" t="str">
        <f>IF(OR(AND(C31=$C$134,D31&gt;0),AND(C31=$C$135,D31=0)),$E$134,$E$135)</f>
        <v>OK</v>
      </c>
    </row>
    <row r="32" spans="1:22">
      <c r="A32" s="140" t="s">
        <v>545</v>
      </c>
      <c r="C32" s="625" t="str">
        <f>E15</f>
        <v>TAK</v>
      </c>
      <c r="D32" s="536">
        <v>0.7</v>
      </c>
      <c r="E32" s="626" t="str">
        <f>IF(OR(AND(C32=$C$134,D32&gt;0),AND(C32=$C$135,D32=0)),$E$134,$E$135)</f>
        <v>OK</v>
      </c>
    </row>
    <row r="33" spans="1:22">
      <c r="A33" s="140" t="s">
        <v>546</v>
      </c>
      <c r="C33" s="625" t="str">
        <f>F15</f>
        <v>NIE</v>
      </c>
      <c r="D33" s="536"/>
      <c r="E33" s="626" t="str">
        <f>IF(OR(AND(C33=$C$134,D33&gt;0),AND(C33=$C$135,D33=0)),$E$134,$E$135)</f>
        <v>OK</v>
      </c>
    </row>
    <row r="34" spans="1:22" ht="30" customHeight="1">
      <c r="A34" s="530" t="s">
        <v>547</v>
      </c>
      <c r="B34" s="527" t="s">
        <v>275</v>
      </c>
      <c r="C34" s="626"/>
      <c r="D34" s="529">
        <f>SUM(D35:D49)</f>
        <v>1</v>
      </c>
      <c r="E34" s="627" t="b">
        <f>D34=100%</f>
        <v>1</v>
      </c>
    </row>
    <row r="35" spans="1:22" s="579" customFormat="1" ht="15" customHeight="1">
      <c r="A35" s="578" t="s">
        <v>626</v>
      </c>
      <c r="B35" s="527"/>
      <c r="C35" s="625" t="str">
        <f>D18</f>
        <v>NIE</v>
      </c>
      <c r="D35" s="536"/>
      <c r="E35" s="626" t="str">
        <f t="shared" ref="E35:E49" si="2">IF(OR(AND(C35=$C$134,D35&gt;0),AND(C35=$C$135,D35=0)),$E$134,$E$135)</f>
        <v>OK</v>
      </c>
      <c r="T35" s="618"/>
      <c r="U35" s="618"/>
      <c r="V35" s="618"/>
    </row>
    <row r="36" spans="1:22" s="579" customFormat="1" ht="15" customHeight="1">
      <c r="A36" s="578" t="s">
        <v>627</v>
      </c>
      <c r="B36" s="527"/>
      <c r="C36" s="625" t="str">
        <f>E18</f>
        <v>NIE</v>
      </c>
      <c r="D36" s="536"/>
      <c r="E36" s="626" t="str">
        <f t="shared" si="2"/>
        <v>OK</v>
      </c>
      <c r="T36" s="618"/>
      <c r="U36" s="618"/>
      <c r="V36" s="618"/>
    </row>
    <row r="37" spans="1:22" s="579" customFormat="1" ht="15" customHeight="1">
      <c r="A37" s="578" t="s">
        <v>628</v>
      </c>
      <c r="B37" s="527"/>
      <c r="C37" s="625" t="str">
        <f>F18</f>
        <v>NIE</v>
      </c>
      <c r="D37" s="536"/>
      <c r="E37" s="626" t="str">
        <f t="shared" si="2"/>
        <v>OK</v>
      </c>
      <c r="T37" s="618"/>
      <c r="U37" s="618"/>
      <c r="V37" s="618"/>
    </row>
    <row r="38" spans="1:22" ht="15" customHeight="1">
      <c r="A38" s="140" t="s">
        <v>571</v>
      </c>
      <c r="C38" s="625" t="str">
        <f>D20</f>
        <v>TAK</v>
      </c>
      <c r="D38" s="536">
        <v>0.3</v>
      </c>
      <c r="E38" s="626" t="str">
        <f t="shared" si="2"/>
        <v>OK</v>
      </c>
      <c r="F38" s="628" t="s">
        <v>709</v>
      </c>
      <c r="G38" s="628"/>
      <c r="H38" s="628"/>
      <c r="I38" s="628"/>
    </row>
    <row r="39" spans="1:22">
      <c r="A39" s="140" t="s">
        <v>572</v>
      </c>
      <c r="C39" s="625" t="str">
        <f>E20</f>
        <v>NIE</v>
      </c>
      <c r="D39" s="536"/>
      <c r="E39" s="626" t="str">
        <f t="shared" si="2"/>
        <v>OK</v>
      </c>
      <c r="F39" s="628"/>
      <c r="G39" s="628"/>
      <c r="H39" s="628"/>
      <c r="I39" s="628"/>
    </row>
    <row r="40" spans="1:22">
      <c r="A40" s="140" t="s">
        <v>573</v>
      </c>
      <c r="C40" s="625" t="str">
        <f>F20</f>
        <v>NIE</v>
      </c>
      <c r="D40" s="536"/>
      <c r="E40" s="626" t="str">
        <f t="shared" si="2"/>
        <v>OK</v>
      </c>
      <c r="F40" s="628"/>
      <c r="G40" s="628"/>
      <c r="H40" s="628"/>
      <c r="I40" s="628"/>
    </row>
    <row r="41" spans="1:22" s="572" customFormat="1">
      <c r="A41" s="140" t="s">
        <v>615</v>
      </c>
      <c r="B41" s="527"/>
      <c r="C41" s="625" t="str">
        <f>D22</f>
        <v>NIE</v>
      </c>
      <c r="D41" s="536"/>
      <c r="E41" s="626" t="str">
        <f t="shared" si="2"/>
        <v>OK</v>
      </c>
      <c r="F41" s="628"/>
      <c r="G41" s="628"/>
      <c r="H41" s="628"/>
      <c r="I41" s="628"/>
      <c r="T41" s="618"/>
      <c r="U41" s="618"/>
      <c r="V41" s="618"/>
    </row>
    <row r="42" spans="1:22" s="572" customFormat="1">
      <c r="A42" s="140" t="s">
        <v>616</v>
      </c>
      <c r="B42" s="527"/>
      <c r="C42" s="625" t="str">
        <f>E22</f>
        <v>NIE</v>
      </c>
      <c r="D42" s="536"/>
      <c r="E42" s="626" t="str">
        <f t="shared" si="2"/>
        <v>OK</v>
      </c>
      <c r="T42" s="618"/>
      <c r="U42" s="618"/>
      <c r="V42" s="618"/>
    </row>
    <row r="43" spans="1:22" s="572" customFormat="1">
      <c r="A43" s="140" t="s">
        <v>617</v>
      </c>
      <c r="B43" s="527"/>
      <c r="C43" s="625" t="str">
        <f>F22</f>
        <v>NIE</v>
      </c>
      <c r="D43" s="536"/>
      <c r="E43" s="626" t="str">
        <f t="shared" si="2"/>
        <v>OK</v>
      </c>
      <c r="T43" s="618"/>
      <c r="U43" s="618"/>
      <c r="V43" s="618"/>
    </row>
    <row r="44" spans="1:22" s="541" customFormat="1">
      <c r="A44" s="140" t="s">
        <v>577</v>
      </c>
      <c r="B44" s="527"/>
      <c r="C44" s="625" t="str">
        <f>D24</f>
        <v>TAK</v>
      </c>
      <c r="D44" s="536">
        <v>0.5</v>
      </c>
      <c r="E44" s="626" t="str">
        <f t="shared" si="2"/>
        <v>OK</v>
      </c>
      <c r="T44" s="618"/>
      <c r="U44" s="618"/>
      <c r="V44" s="618"/>
    </row>
    <row r="45" spans="1:22" s="541" customFormat="1">
      <c r="A45" s="140" t="s">
        <v>578</v>
      </c>
      <c r="B45" s="527"/>
      <c r="C45" s="625" t="str">
        <f>E24</f>
        <v>TAK</v>
      </c>
      <c r="D45" s="536">
        <v>0.2</v>
      </c>
      <c r="E45" s="626" t="str">
        <f t="shared" si="2"/>
        <v>OK</v>
      </c>
      <c r="T45" s="618"/>
      <c r="U45" s="618"/>
      <c r="V45" s="618"/>
    </row>
    <row r="46" spans="1:22" s="541" customFormat="1">
      <c r="A46" s="140" t="s">
        <v>579</v>
      </c>
      <c r="B46" s="527"/>
      <c r="C46" s="625" t="str">
        <f>F24</f>
        <v>NIE</v>
      </c>
      <c r="D46" s="536"/>
      <c r="E46" s="626" t="str">
        <f t="shared" si="2"/>
        <v>OK</v>
      </c>
      <c r="T46" s="618"/>
      <c r="U46" s="618"/>
      <c r="V46" s="618"/>
    </row>
    <row r="47" spans="1:22" s="579" customFormat="1">
      <c r="A47" s="140" t="s">
        <v>629</v>
      </c>
      <c r="B47" s="527"/>
      <c r="C47" s="625" t="str">
        <f>D26</f>
        <v>NIE</v>
      </c>
      <c r="D47" s="536"/>
      <c r="E47" s="626" t="str">
        <f t="shared" si="2"/>
        <v>OK</v>
      </c>
      <c r="T47" s="618"/>
      <c r="U47" s="618"/>
      <c r="V47" s="618"/>
    </row>
    <row r="48" spans="1:22" s="579" customFormat="1">
      <c r="A48" s="140" t="s">
        <v>630</v>
      </c>
      <c r="B48" s="527"/>
      <c r="C48" s="625" t="str">
        <f>E26</f>
        <v>NIE</v>
      </c>
      <c r="D48" s="536"/>
      <c r="E48" s="626" t="str">
        <f t="shared" si="2"/>
        <v>OK</v>
      </c>
      <c r="T48" s="618"/>
      <c r="U48" s="618"/>
      <c r="V48" s="618"/>
    </row>
    <row r="49" spans="1:22" s="579" customFormat="1">
      <c r="A49" s="140" t="s">
        <v>631</v>
      </c>
      <c r="B49" s="527"/>
      <c r="C49" s="625" t="str">
        <f>F26</f>
        <v>NIE</v>
      </c>
      <c r="D49" s="536"/>
      <c r="E49" s="626" t="str">
        <f t="shared" si="2"/>
        <v>OK</v>
      </c>
      <c r="T49" s="618"/>
      <c r="U49" s="618"/>
      <c r="V49" s="618"/>
    </row>
    <row r="50" spans="1:22"/>
    <row r="51" spans="1:22">
      <c r="A51" s="583" t="s">
        <v>551</v>
      </c>
    </row>
    <row r="52" spans="1:22" s="579" customFormat="1">
      <c r="A52" s="91" t="s">
        <v>618</v>
      </c>
      <c r="B52" s="527"/>
      <c r="D52" s="592" t="s">
        <v>624</v>
      </c>
      <c r="E52" s="592" t="s">
        <v>623</v>
      </c>
      <c r="F52" s="592" t="s">
        <v>625</v>
      </c>
      <c r="H52" s="630" t="str">
        <f>Wstęp!$B$21</f>
        <v xml:space="preserve">Trasa nowa to trasa, po której w wariancie bezinwestycyjnym poruszają się samochody osobowe, a w wariancie inwestycyjnym pasażerowie tych samochodów przesiadają się do pojazdów nowych (zakupywane: Diesel EURO VI, CNG, LPG/LNG, elektryczne, hybrydowe Diesel/elektryczne). </v>
      </c>
      <c r="I52" s="630"/>
      <c r="J52" s="630"/>
      <c r="K52" s="630"/>
      <c r="L52" s="630"/>
      <c r="M52" s="630"/>
      <c r="N52" s="630"/>
      <c r="T52" s="618"/>
      <c r="U52" s="618"/>
      <c r="V52" s="618"/>
    </row>
    <row r="53" spans="1:22" s="579" customFormat="1">
      <c r="A53" s="502" t="s">
        <v>609</v>
      </c>
      <c r="B53" s="527"/>
      <c r="D53" s="606" t="s">
        <v>614</v>
      </c>
      <c r="E53" s="606" t="s">
        <v>614</v>
      </c>
      <c r="F53" s="606" t="s">
        <v>614</v>
      </c>
      <c r="H53" s="630"/>
      <c r="I53" s="630"/>
      <c r="J53" s="630"/>
      <c r="K53" s="630"/>
      <c r="L53" s="630"/>
      <c r="M53" s="630"/>
      <c r="N53" s="630"/>
      <c r="T53" s="618"/>
      <c r="U53" s="618"/>
      <c r="V53" s="618"/>
    </row>
    <row r="54" spans="1:22">
      <c r="A54" s="91" t="s">
        <v>606</v>
      </c>
      <c r="D54" s="592" t="s">
        <v>568</v>
      </c>
      <c r="E54" s="592" t="s">
        <v>569</v>
      </c>
      <c r="F54" s="592" t="s">
        <v>570</v>
      </c>
      <c r="H54" s="630"/>
      <c r="I54" s="630"/>
      <c r="J54" s="630"/>
      <c r="K54" s="630"/>
      <c r="L54" s="630"/>
      <c r="M54" s="630"/>
      <c r="N54" s="630"/>
    </row>
    <row r="55" spans="1:22" s="572" customFormat="1">
      <c r="A55" s="502" t="s">
        <v>609</v>
      </c>
      <c r="B55" s="527"/>
      <c r="D55" s="606" t="s">
        <v>614</v>
      </c>
      <c r="E55" s="606" t="s">
        <v>614</v>
      </c>
      <c r="F55" s="606" t="s">
        <v>614</v>
      </c>
      <c r="H55" s="605"/>
      <c r="I55" s="605"/>
      <c r="J55" s="605"/>
      <c r="K55" s="605"/>
      <c r="L55" s="605"/>
      <c r="M55" s="605"/>
      <c r="N55" s="605"/>
      <c r="T55" s="618"/>
      <c r="U55" s="618"/>
      <c r="V55" s="618"/>
    </row>
    <row r="56" spans="1:22" s="572" customFormat="1">
      <c r="A56" s="91" t="s">
        <v>607</v>
      </c>
      <c r="B56" s="527"/>
      <c r="D56" s="592" t="s">
        <v>611</v>
      </c>
      <c r="E56" s="592" t="s">
        <v>612</v>
      </c>
      <c r="F56" s="592" t="s">
        <v>613</v>
      </c>
      <c r="H56" s="630" t="str">
        <f>Wstęp!$B$22</f>
        <v xml:space="preserve">Na zakładce "Założenia" w wierszach 53, 55, 57, 59, 61 należy wskazać, czy dany typ pojazdu występuje ("TAK"/"NIE"). Dla każdego rodzaju napędu możliwe jest wskazanie maksymalnie trzech typów pojazdów (różne kategorie EURO, różne parametry spalania lub zużycia energii). </v>
      </c>
      <c r="I56" s="630"/>
      <c r="J56" s="630"/>
      <c r="K56" s="630"/>
      <c r="L56" s="630"/>
      <c r="M56" s="630"/>
      <c r="N56" s="630"/>
      <c r="T56" s="618"/>
      <c r="U56" s="618"/>
      <c r="V56" s="618"/>
    </row>
    <row r="57" spans="1:22" s="572" customFormat="1">
      <c r="A57" s="502" t="s">
        <v>609</v>
      </c>
      <c r="B57" s="527"/>
      <c r="D57" s="606" t="s">
        <v>614</v>
      </c>
      <c r="E57" s="606" t="s">
        <v>614</v>
      </c>
      <c r="F57" s="606" t="s">
        <v>614</v>
      </c>
      <c r="H57" s="630"/>
      <c r="I57" s="630"/>
      <c r="J57" s="630"/>
      <c r="K57" s="630"/>
      <c r="L57" s="630"/>
      <c r="M57" s="630"/>
      <c r="N57" s="630"/>
      <c r="T57" s="618"/>
      <c r="U57" s="618"/>
      <c r="V57" s="618"/>
    </row>
    <row r="58" spans="1:22" s="572" customFormat="1">
      <c r="A58" s="91" t="s">
        <v>608</v>
      </c>
      <c r="B58" s="527"/>
      <c r="D58" s="593" t="s">
        <v>574</v>
      </c>
      <c r="E58" s="593" t="s">
        <v>575</v>
      </c>
      <c r="F58" s="593" t="s">
        <v>576</v>
      </c>
      <c r="H58" s="630"/>
      <c r="I58" s="630"/>
      <c r="J58" s="630"/>
      <c r="K58" s="630"/>
      <c r="L58" s="630"/>
      <c r="M58" s="630"/>
      <c r="N58" s="630"/>
      <c r="T58" s="618"/>
      <c r="U58" s="618"/>
      <c r="V58" s="618"/>
    </row>
    <row r="59" spans="1:22" s="572" customFormat="1">
      <c r="A59" s="502" t="s">
        <v>609</v>
      </c>
      <c r="B59" s="527"/>
      <c r="D59" s="606" t="s">
        <v>614</v>
      </c>
      <c r="E59" s="606" t="s">
        <v>614</v>
      </c>
      <c r="F59" s="606" t="s">
        <v>614</v>
      </c>
      <c r="H59" s="605"/>
      <c r="I59" s="605"/>
      <c r="J59" s="605"/>
      <c r="K59" s="605"/>
      <c r="L59" s="605"/>
      <c r="M59" s="605"/>
      <c r="N59" s="605"/>
      <c r="T59" s="618"/>
      <c r="U59" s="618"/>
      <c r="V59" s="618"/>
    </row>
    <row r="60" spans="1:22" s="579" customFormat="1">
      <c r="A60" s="91" t="s">
        <v>619</v>
      </c>
      <c r="B60" s="527"/>
      <c r="D60" s="592" t="s">
        <v>620</v>
      </c>
      <c r="E60" s="592" t="s">
        <v>621</v>
      </c>
      <c r="F60" s="592" t="s">
        <v>622</v>
      </c>
      <c r="H60" s="630" t="str">
        <f>Wstęp!$B$23</f>
        <v xml:space="preserve">Dla autobusów konieczne jest również wskazanie rocznej pracy eksploatacyjnej (wozokm), podziału pracy eksploatacyjnej na poszczególne typy oraz rocznej liczby pasażerów. Natomiast do wyliczenia pracy eksploatacyjnej samochodów konieczne jest podanie długości trasy oraz średniego napełnienia. </v>
      </c>
      <c r="I60" s="630"/>
      <c r="J60" s="630"/>
      <c r="K60" s="630"/>
      <c r="L60" s="630"/>
      <c r="M60" s="630"/>
      <c r="N60" s="630"/>
      <c r="T60" s="618"/>
      <c r="U60" s="618"/>
      <c r="V60" s="618"/>
    </row>
    <row r="61" spans="1:22" s="579" customFormat="1">
      <c r="A61" s="502" t="s">
        <v>609</v>
      </c>
      <c r="B61" s="527"/>
      <c r="D61" s="606" t="s">
        <v>610</v>
      </c>
      <c r="E61" s="606" t="s">
        <v>610</v>
      </c>
      <c r="F61" s="606" t="s">
        <v>614</v>
      </c>
      <c r="H61" s="630"/>
      <c r="I61" s="630"/>
      <c r="J61" s="630"/>
      <c r="K61" s="630"/>
      <c r="L61" s="630"/>
      <c r="M61" s="630"/>
      <c r="N61" s="630"/>
      <c r="T61" s="618"/>
      <c r="U61" s="618"/>
      <c r="V61" s="618"/>
    </row>
    <row r="62" spans="1:22" s="572" customFormat="1">
      <c r="A62" s="502"/>
      <c r="B62" s="527"/>
      <c r="H62" s="630"/>
      <c r="I62" s="630"/>
      <c r="J62" s="630"/>
      <c r="K62" s="630"/>
      <c r="L62" s="630"/>
      <c r="M62" s="630"/>
      <c r="N62" s="630"/>
      <c r="T62" s="618"/>
      <c r="U62" s="618"/>
      <c r="V62" s="618"/>
    </row>
    <row r="63" spans="1:22">
      <c r="A63" s="533" t="s">
        <v>675</v>
      </c>
      <c r="B63" s="527" t="s">
        <v>543</v>
      </c>
      <c r="C63" s="625" t="str">
        <f>IF(OR(D53=$C$134,E53=$C$134,F53=$C$134,D55=$C$134,E55=$C$134,F55=$C$134,D57=$C$134,E57=$C$134,F57=$C$134,D59=$C$134,E59=$C$134,F59=$C$134,D61=$C$134,E61=$C$134,F61=$C$134),$C$134,$C$135)</f>
        <v>TAK</v>
      </c>
      <c r="D63" s="535">
        <v>200000</v>
      </c>
      <c r="E63" s="626" t="str">
        <f>IF(OR(AND(C63=$C$134,D63&gt;0),AND(C63=$C$135,D63=0)),$E$134,$E$135)</f>
        <v>OK</v>
      </c>
      <c r="H63" s="630"/>
      <c r="I63" s="630"/>
      <c r="J63" s="630"/>
      <c r="K63" s="630"/>
      <c r="L63" s="630"/>
      <c r="M63" s="630"/>
      <c r="N63" s="630"/>
    </row>
    <row r="64" spans="1:22">
      <c r="A64" s="608" t="s">
        <v>676</v>
      </c>
      <c r="B64" s="527" t="s">
        <v>158</v>
      </c>
      <c r="C64" s="625" t="str">
        <f>C63</f>
        <v>TAK</v>
      </c>
      <c r="D64" s="528">
        <v>4</v>
      </c>
      <c r="E64" s="626" t="str">
        <f>IF(OR(AND(C64=$C$134,D64&gt;0),AND(C64=$C$135,D64=0)),$E$134,$E$135)</f>
        <v>OK</v>
      </c>
      <c r="H64" s="605"/>
      <c r="I64" s="605"/>
      <c r="J64" s="605"/>
      <c r="K64" s="605"/>
      <c r="L64" s="605"/>
      <c r="M64" s="605"/>
      <c r="N64" s="605"/>
    </row>
    <row r="65" spans="1:22" ht="30">
      <c r="A65" s="530" t="s">
        <v>677</v>
      </c>
      <c r="B65" s="527" t="s">
        <v>275</v>
      </c>
      <c r="C65" s="626"/>
      <c r="D65" s="537">
        <f>SUM(D67:D80)</f>
        <v>1</v>
      </c>
      <c r="E65" s="627" t="b">
        <f>D65=100%</f>
        <v>1</v>
      </c>
      <c r="H65" s="630" t="str">
        <f>Wstęp!$B$24</f>
        <v xml:space="preserve">Hiperłącza dla poszczególnych typów pojazdów przenoszą do odpowiedniego miejsca na zakładce "Emisje WI trasa nowa". </v>
      </c>
      <c r="I65" s="630"/>
      <c r="J65" s="630"/>
      <c r="K65" s="630"/>
      <c r="L65" s="630"/>
      <c r="M65" s="630"/>
      <c r="N65" s="630"/>
    </row>
    <row r="66" spans="1:22" s="579" customFormat="1">
      <c r="A66" s="578" t="s">
        <v>626</v>
      </c>
      <c r="B66" s="527"/>
      <c r="C66" s="625" t="str">
        <f>D53</f>
        <v>NIE</v>
      </c>
      <c r="D66" s="586"/>
      <c r="E66" s="626" t="str">
        <f t="shared" ref="E66:E80" si="3">IF(OR(AND(C66=$C$134,D66&gt;0),AND(C66=$C$135,D66=0)),$E$134,$E$135)</f>
        <v>OK</v>
      </c>
      <c r="H66" s="605"/>
      <c r="I66" s="605"/>
      <c r="J66" s="605"/>
      <c r="K66" s="605"/>
      <c r="L66" s="605"/>
      <c r="M66" s="605"/>
      <c r="N66" s="605"/>
      <c r="T66" s="618"/>
      <c r="U66" s="618"/>
      <c r="V66" s="618"/>
    </row>
    <row r="67" spans="1:22" s="579" customFormat="1">
      <c r="A67" s="578" t="s">
        <v>627</v>
      </c>
      <c r="B67" s="527"/>
      <c r="C67" s="625" t="str">
        <f>E53</f>
        <v>NIE</v>
      </c>
      <c r="D67" s="586"/>
      <c r="E67" s="626" t="str">
        <f t="shared" si="3"/>
        <v>OK</v>
      </c>
      <c r="H67" s="630" t="str">
        <f>Wstęp!$B$25</f>
        <v xml:space="preserve">Należy tam wskazać kategorię EURO i parametry spalania lub zużycia energii dla typów pojazdów, które występują w projekcie ("TAK"). </v>
      </c>
      <c r="I67" s="630"/>
      <c r="J67" s="630"/>
      <c r="K67" s="630"/>
      <c r="L67" s="630"/>
      <c r="M67" s="630"/>
      <c r="N67" s="630"/>
      <c r="T67" s="618"/>
      <c r="U67" s="618"/>
      <c r="V67" s="618"/>
    </row>
    <row r="68" spans="1:22" s="579" customFormat="1">
      <c r="A68" s="578" t="s">
        <v>628</v>
      </c>
      <c r="B68" s="527"/>
      <c r="C68" s="625" t="str">
        <f>F53</f>
        <v>NIE</v>
      </c>
      <c r="D68" s="586"/>
      <c r="E68" s="626" t="str">
        <f t="shared" si="3"/>
        <v>OK</v>
      </c>
      <c r="H68" s="630"/>
      <c r="I68" s="630"/>
      <c r="J68" s="630"/>
      <c r="K68" s="630"/>
      <c r="L68" s="630"/>
      <c r="M68" s="630"/>
      <c r="N68" s="630"/>
      <c r="T68" s="618"/>
      <c r="U68" s="618"/>
      <c r="V68" s="618"/>
    </row>
    <row r="69" spans="1:22">
      <c r="A69" s="140" t="s">
        <v>571</v>
      </c>
      <c r="C69" s="625" t="str">
        <f>D55</f>
        <v>NIE</v>
      </c>
      <c r="D69" s="536"/>
      <c r="E69" s="626" t="str">
        <f t="shared" si="3"/>
        <v>OK</v>
      </c>
      <c r="H69" s="605"/>
      <c r="I69" s="605"/>
      <c r="J69" s="605"/>
      <c r="K69" s="605"/>
      <c r="L69" s="605"/>
      <c r="M69" s="605"/>
      <c r="N69" s="605"/>
    </row>
    <row r="70" spans="1:22">
      <c r="A70" s="140" t="s">
        <v>572</v>
      </c>
      <c r="C70" s="625" t="str">
        <f>E55</f>
        <v>NIE</v>
      </c>
      <c r="D70" s="536"/>
      <c r="E70" s="626" t="str">
        <f t="shared" si="3"/>
        <v>OK</v>
      </c>
      <c r="H70" s="630" t="str">
        <f>Wstęp!$B$26</f>
        <v xml:space="preserve">Założenia te pozwolą wyliczyć emisje (t/km), które następnie arkusz przeliczy przez koszty jednostkowe (PLN/t) oraz wozokilometry, uzyskując koszty emisji (PLN). </v>
      </c>
      <c r="I70" s="630"/>
      <c r="J70" s="630"/>
      <c r="K70" s="630"/>
      <c r="L70" s="630"/>
      <c r="M70" s="630"/>
      <c r="N70" s="630"/>
    </row>
    <row r="71" spans="1:22">
      <c r="A71" s="140" t="s">
        <v>573</v>
      </c>
      <c r="C71" s="625" t="str">
        <f>F55</f>
        <v>NIE</v>
      </c>
      <c r="D71" s="536"/>
      <c r="E71" s="626" t="str">
        <f t="shared" si="3"/>
        <v>OK</v>
      </c>
      <c r="H71" s="630"/>
      <c r="I71" s="630"/>
      <c r="J71" s="630"/>
      <c r="K71" s="630"/>
      <c r="L71" s="630"/>
      <c r="M71" s="630"/>
      <c r="N71" s="630"/>
    </row>
    <row r="72" spans="1:22" s="572" customFormat="1">
      <c r="A72" s="140" t="s">
        <v>615</v>
      </c>
      <c r="B72" s="527"/>
      <c r="C72" s="625" t="str">
        <f>D57</f>
        <v>NIE</v>
      </c>
      <c r="D72" s="536"/>
      <c r="E72" s="626" t="str">
        <f t="shared" si="3"/>
        <v>OK</v>
      </c>
      <c r="T72" s="618"/>
      <c r="U72" s="618"/>
      <c r="V72" s="618"/>
    </row>
    <row r="73" spans="1:22" s="572" customFormat="1">
      <c r="A73" s="140" t="s">
        <v>616</v>
      </c>
      <c r="B73" s="527"/>
      <c r="C73" s="625" t="str">
        <f>E57</f>
        <v>NIE</v>
      </c>
      <c r="D73" s="536"/>
      <c r="E73" s="626" t="str">
        <f t="shared" si="3"/>
        <v>OK</v>
      </c>
      <c r="T73" s="618"/>
      <c r="U73" s="618"/>
      <c r="V73" s="618"/>
    </row>
    <row r="74" spans="1:22" s="572" customFormat="1" ht="15" customHeight="1">
      <c r="A74" s="140" t="s">
        <v>617</v>
      </c>
      <c r="B74" s="527"/>
      <c r="C74" s="625" t="str">
        <f>F57</f>
        <v>NIE</v>
      </c>
      <c r="D74" s="536"/>
      <c r="E74" s="626" t="str">
        <f t="shared" si="3"/>
        <v>OK</v>
      </c>
      <c r="F74" s="628" t="s">
        <v>709</v>
      </c>
      <c r="G74" s="628"/>
      <c r="H74" s="628"/>
      <c r="I74" s="628"/>
      <c r="T74" s="618"/>
      <c r="U74" s="618"/>
      <c r="V74" s="618"/>
    </row>
    <row r="75" spans="1:22" s="541" customFormat="1">
      <c r="A75" s="140" t="s">
        <v>577</v>
      </c>
      <c r="B75" s="527"/>
      <c r="C75" s="625" t="str">
        <f>D59</f>
        <v>NIE</v>
      </c>
      <c r="D75" s="536"/>
      <c r="E75" s="626" t="str">
        <f t="shared" si="3"/>
        <v>OK</v>
      </c>
      <c r="F75" s="628"/>
      <c r="G75" s="628"/>
      <c r="H75" s="628"/>
      <c r="I75" s="628"/>
      <c r="T75" s="618"/>
      <c r="U75" s="618"/>
      <c r="V75" s="618"/>
    </row>
    <row r="76" spans="1:22" s="541" customFormat="1">
      <c r="A76" s="140" t="s">
        <v>578</v>
      </c>
      <c r="B76" s="527"/>
      <c r="C76" s="625" t="str">
        <f>E59</f>
        <v>NIE</v>
      </c>
      <c r="D76" s="536"/>
      <c r="E76" s="626" t="str">
        <f t="shared" si="3"/>
        <v>OK</v>
      </c>
      <c r="F76" s="628"/>
      <c r="G76" s="628"/>
      <c r="H76" s="628"/>
      <c r="I76" s="628"/>
      <c r="T76" s="618"/>
      <c r="U76" s="618"/>
      <c r="V76" s="618"/>
    </row>
    <row r="77" spans="1:22" s="541" customFormat="1">
      <c r="A77" s="140" t="s">
        <v>579</v>
      </c>
      <c r="B77" s="527"/>
      <c r="C77" s="625" t="str">
        <f>F59</f>
        <v>NIE</v>
      </c>
      <c r="D77" s="536"/>
      <c r="E77" s="626" t="str">
        <f t="shared" si="3"/>
        <v>OK</v>
      </c>
      <c r="F77" s="628"/>
      <c r="G77" s="628"/>
      <c r="H77" s="628"/>
      <c r="I77" s="628"/>
      <c r="T77" s="618"/>
      <c r="U77" s="618"/>
      <c r="V77" s="618"/>
    </row>
    <row r="78" spans="1:22" s="579" customFormat="1">
      <c r="A78" s="140" t="s">
        <v>629</v>
      </c>
      <c r="B78" s="527"/>
      <c r="C78" s="625" t="str">
        <f>D61</f>
        <v>TAK</v>
      </c>
      <c r="D78" s="536">
        <v>0.6</v>
      </c>
      <c r="E78" s="626" t="str">
        <f t="shared" si="3"/>
        <v>OK</v>
      </c>
      <c r="T78" s="618"/>
      <c r="U78" s="618"/>
      <c r="V78" s="618"/>
    </row>
    <row r="79" spans="1:22" s="579" customFormat="1">
      <c r="A79" s="140" t="s">
        <v>630</v>
      </c>
      <c r="B79" s="527"/>
      <c r="C79" s="625" t="str">
        <f>E61</f>
        <v>TAK</v>
      </c>
      <c r="D79" s="536">
        <v>0.4</v>
      </c>
      <c r="E79" s="626" t="str">
        <f t="shared" si="3"/>
        <v>OK</v>
      </c>
      <c r="T79" s="618"/>
      <c r="U79" s="618"/>
      <c r="V79" s="618"/>
    </row>
    <row r="80" spans="1:22" s="579" customFormat="1">
      <c r="A80" s="140" t="s">
        <v>631</v>
      </c>
      <c r="B80" s="527"/>
      <c r="C80" s="625" t="str">
        <f>F61</f>
        <v>NIE</v>
      </c>
      <c r="D80" s="536"/>
      <c r="E80" s="626" t="str">
        <f t="shared" si="3"/>
        <v>OK</v>
      </c>
      <c r="T80" s="618"/>
      <c r="U80" s="618"/>
      <c r="V80" s="618"/>
    </row>
    <row r="81" spans="1:22" s="572" customFormat="1">
      <c r="A81" s="140"/>
      <c r="B81" s="527"/>
      <c r="D81" s="582"/>
      <c r="T81" s="618"/>
      <c r="U81" s="618"/>
      <c r="V81" s="618"/>
    </row>
    <row r="82" spans="1:22" s="563" customFormat="1">
      <c r="A82" s="533" t="s">
        <v>598</v>
      </c>
      <c r="B82" s="527" t="s">
        <v>556</v>
      </c>
      <c r="D82" s="535">
        <v>200000</v>
      </c>
      <c r="E82" s="557" t="s">
        <v>705</v>
      </c>
      <c r="T82" s="618"/>
      <c r="U82" s="618"/>
      <c r="V82" s="618"/>
    </row>
    <row r="83" spans="1:22"/>
    <row r="84" spans="1:22">
      <c r="A84" s="583" t="s">
        <v>562</v>
      </c>
    </row>
    <row r="85" spans="1:22">
      <c r="A85" t="s">
        <v>700</v>
      </c>
      <c r="B85" s="527" t="s">
        <v>159</v>
      </c>
      <c r="D85" s="528">
        <v>15</v>
      </c>
      <c r="E85" s="557" t="s">
        <v>704</v>
      </c>
    </row>
    <row r="86" spans="1:22" hidden="1" outlineLevel="1">
      <c r="A86" t="s">
        <v>553</v>
      </c>
      <c r="B86" s="527" t="s">
        <v>557</v>
      </c>
      <c r="D86" s="178">
        <v>1.4</v>
      </c>
      <c r="E86" s="557" t="s">
        <v>706</v>
      </c>
    </row>
    <row r="87" spans="1:22" hidden="1" outlineLevel="1">
      <c r="A87" t="s">
        <v>554</v>
      </c>
      <c r="B87" s="527" t="s">
        <v>558</v>
      </c>
      <c r="D87" s="102">
        <f>EVEN(D82/D86)</f>
        <v>142858</v>
      </c>
    </row>
    <row r="88" spans="1:22" hidden="1" outlineLevel="1">
      <c r="A88" t="s">
        <v>552</v>
      </c>
      <c r="B88" s="527" t="s">
        <v>555</v>
      </c>
      <c r="D88" s="102">
        <f>D87*D85</f>
        <v>2142870</v>
      </c>
    </row>
    <row r="89" spans="1:22" collapsed="1"/>
    <row r="90" spans="1:22"/>
    <row r="91" spans="1:22">
      <c r="A91" s="131" t="s">
        <v>559</v>
      </c>
      <c r="E91" s="539"/>
      <c r="F91" s="539"/>
      <c r="G91" s="539"/>
      <c r="H91" s="539"/>
      <c r="I91" s="539"/>
      <c r="J91" s="539"/>
      <c r="K91" s="539"/>
      <c r="L91" s="539"/>
      <c r="M91" s="539"/>
      <c r="N91" s="539"/>
      <c r="O91" s="539"/>
      <c r="P91" s="539"/>
      <c r="Q91" s="539"/>
      <c r="R91" s="539"/>
      <c r="S91" s="539"/>
      <c r="T91" s="539"/>
      <c r="U91" s="539"/>
      <c r="V91" s="539"/>
    </row>
    <row r="92" spans="1:22" ht="30" hidden="1" outlineLevel="1">
      <c r="A92" s="532" t="s">
        <v>561</v>
      </c>
      <c r="B92" s="527" t="s">
        <v>543</v>
      </c>
      <c r="E92" s="102">
        <f>SUM(E93:E95)</f>
        <v>800000</v>
      </c>
      <c r="F92" s="102">
        <f t="shared" ref="F92:L92" si="4">SUM(F93:F95)</f>
        <v>800000</v>
      </c>
      <c r="G92" s="102">
        <f t="shared" si="4"/>
        <v>800000</v>
      </c>
      <c r="H92" s="102">
        <f t="shared" si="4"/>
        <v>800000</v>
      </c>
      <c r="I92" s="102">
        <f t="shared" si="4"/>
        <v>800000</v>
      </c>
      <c r="J92" s="102">
        <f t="shared" si="4"/>
        <v>800000</v>
      </c>
      <c r="K92" s="102">
        <f t="shared" si="4"/>
        <v>800000</v>
      </c>
      <c r="L92" s="102">
        <f t="shared" si="4"/>
        <v>800000</v>
      </c>
      <c r="M92" s="102">
        <f t="shared" ref="M92" si="5">SUM(M93:M95)</f>
        <v>800000</v>
      </c>
      <c r="N92" s="102">
        <f t="shared" ref="N92" si="6">SUM(N93:N95)</f>
        <v>800000</v>
      </c>
      <c r="O92" s="102">
        <f t="shared" ref="O92" si="7">SUM(O93:O95)</f>
        <v>800000</v>
      </c>
      <c r="P92" s="102">
        <f t="shared" ref="P92" si="8">SUM(P93:P95)</f>
        <v>800000</v>
      </c>
      <c r="Q92" s="102">
        <f t="shared" ref="Q92" si="9">SUM(Q93:Q95)</f>
        <v>800000</v>
      </c>
      <c r="R92" s="102">
        <f t="shared" ref="R92:V92" si="10">SUM(R93:R95)</f>
        <v>800000</v>
      </c>
      <c r="S92" s="102">
        <f t="shared" si="10"/>
        <v>800000</v>
      </c>
      <c r="T92" s="102">
        <f t="shared" si="10"/>
        <v>0</v>
      </c>
      <c r="U92" s="102">
        <f t="shared" si="10"/>
        <v>0</v>
      </c>
      <c r="V92" s="102">
        <f t="shared" si="10"/>
        <v>0</v>
      </c>
    </row>
    <row r="93" spans="1:22" hidden="1" outlineLevel="1">
      <c r="A93" s="140" t="s">
        <v>548</v>
      </c>
      <c r="E93" s="102">
        <f>IF((E1&gt;=$D$7)*AND(E1&lt;=$D$9),$D$28*$D31,0)</f>
        <v>240000</v>
      </c>
      <c r="F93" s="102">
        <f>IF((F1&gt;=$D$7)*AND(F1&lt;=$D$9),$D$28*$D31,0)</f>
        <v>240000</v>
      </c>
      <c r="G93" s="102">
        <f t="shared" ref="G93:V93" si="11">IF((G1&gt;=$D$7)*AND(G1&lt;=$D$9),$D$28*$D31,0)</f>
        <v>240000</v>
      </c>
      <c r="H93" s="102">
        <f t="shared" si="11"/>
        <v>240000</v>
      </c>
      <c r="I93" s="102">
        <f t="shared" si="11"/>
        <v>240000</v>
      </c>
      <c r="J93" s="102">
        <f t="shared" si="11"/>
        <v>240000</v>
      </c>
      <c r="K93" s="102">
        <f t="shared" si="11"/>
        <v>240000</v>
      </c>
      <c r="L93" s="102">
        <f t="shared" si="11"/>
        <v>240000</v>
      </c>
      <c r="M93" s="102">
        <f t="shared" si="11"/>
        <v>240000</v>
      </c>
      <c r="N93" s="102">
        <f t="shared" si="11"/>
        <v>240000</v>
      </c>
      <c r="O93" s="102">
        <f t="shared" si="11"/>
        <v>240000</v>
      </c>
      <c r="P93" s="102">
        <f t="shared" si="11"/>
        <v>240000</v>
      </c>
      <c r="Q93" s="102">
        <f t="shared" si="11"/>
        <v>240000</v>
      </c>
      <c r="R93" s="102">
        <f t="shared" si="11"/>
        <v>240000</v>
      </c>
      <c r="S93" s="102">
        <f t="shared" si="11"/>
        <v>240000</v>
      </c>
      <c r="T93" s="102">
        <f t="shared" si="11"/>
        <v>0</v>
      </c>
      <c r="U93" s="102">
        <f t="shared" si="11"/>
        <v>0</v>
      </c>
      <c r="V93" s="102">
        <f t="shared" si="11"/>
        <v>0</v>
      </c>
    </row>
    <row r="94" spans="1:22" hidden="1" outlineLevel="1">
      <c r="A94" s="140" t="s">
        <v>549</v>
      </c>
      <c r="E94" s="102">
        <f>IF((E1&gt;=$D$7)*AND(E1&lt;=$D$9),$D$28*$D32,0)</f>
        <v>560000</v>
      </c>
      <c r="F94" s="102">
        <f t="shared" ref="F94:V94" si="12">IF((F1&gt;=$D$7)*AND(F1&lt;=$D$9),$D$28*$D32,0)</f>
        <v>560000</v>
      </c>
      <c r="G94" s="102">
        <f t="shared" si="12"/>
        <v>560000</v>
      </c>
      <c r="H94" s="102">
        <f t="shared" si="12"/>
        <v>560000</v>
      </c>
      <c r="I94" s="102">
        <f t="shared" si="12"/>
        <v>560000</v>
      </c>
      <c r="J94" s="102">
        <f t="shared" si="12"/>
        <v>560000</v>
      </c>
      <c r="K94" s="102">
        <f t="shared" si="12"/>
        <v>560000</v>
      </c>
      <c r="L94" s="102">
        <f t="shared" si="12"/>
        <v>560000</v>
      </c>
      <c r="M94" s="102">
        <f t="shared" si="12"/>
        <v>560000</v>
      </c>
      <c r="N94" s="102">
        <f t="shared" si="12"/>
        <v>560000</v>
      </c>
      <c r="O94" s="102">
        <f t="shared" si="12"/>
        <v>560000</v>
      </c>
      <c r="P94" s="102">
        <f t="shared" si="12"/>
        <v>560000</v>
      </c>
      <c r="Q94" s="102">
        <f t="shared" si="12"/>
        <v>560000</v>
      </c>
      <c r="R94" s="102">
        <f t="shared" si="12"/>
        <v>560000</v>
      </c>
      <c r="S94" s="102">
        <f t="shared" si="12"/>
        <v>560000</v>
      </c>
      <c r="T94" s="102">
        <f t="shared" si="12"/>
        <v>0</v>
      </c>
      <c r="U94" s="102">
        <f t="shared" si="12"/>
        <v>0</v>
      </c>
      <c r="V94" s="102">
        <f t="shared" si="12"/>
        <v>0</v>
      </c>
    </row>
    <row r="95" spans="1:22" hidden="1" outlineLevel="1">
      <c r="A95" s="140" t="s">
        <v>550</v>
      </c>
      <c r="E95" s="102">
        <f>IF((E1&gt;=$D$7)*AND(E1&lt;=$D$9),$D$28*$D33,0)</f>
        <v>0</v>
      </c>
      <c r="F95" s="102">
        <f t="shared" ref="F95:V95" si="13">IF((F1&gt;=$D$7)*AND(F1&lt;=$D$9),$D$28*$D33,0)</f>
        <v>0</v>
      </c>
      <c r="G95" s="102">
        <f t="shared" si="13"/>
        <v>0</v>
      </c>
      <c r="H95" s="102">
        <f t="shared" si="13"/>
        <v>0</v>
      </c>
      <c r="I95" s="102">
        <f t="shared" si="13"/>
        <v>0</v>
      </c>
      <c r="J95" s="102">
        <f t="shared" si="13"/>
        <v>0</v>
      </c>
      <c r="K95" s="102">
        <f t="shared" si="13"/>
        <v>0</v>
      </c>
      <c r="L95" s="102">
        <f t="shared" si="13"/>
        <v>0</v>
      </c>
      <c r="M95" s="102">
        <f t="shared" si="13"/>
        <v>0</v>
      </c>
      <c r="N95" s="102">
        <f t="shared" si="13"/>
        <v>0</v>
      </c>
      <c r="O95" s="102">
        <f t="shared" si="13"/>
        <v>0</v>
      </c>
      <c r="P95" s="102">
        <f t="shared" si="13"/>
        <v>0</v>
      </c>
      <c r="Q95" s="102">
        <f t="shared" si="13"/>
        <v>0</v>
      </c>
      <c r="R95" s="102">
        <f t="shared" si="13"/>
        <v>0</v>
      </c>
      <c r="S95" s="102">
        <f t="shared" si="13"/>
        <v>0</v>
      </c>
      <c r="T95" s="102">
        <f t="shared" si="13"/>
        <v>0</v>
      </c>
      <c r="U95" s="102">
        <f t="shared" si="13"/>
        <v>0</v>
      </c>
      <c r="V95" s="102">
        <f t="shared" si="13"/>
        <v>0</v>
      </c>
    </row>
    <row r="96" spans="1:22" hidden="1" outlineLevel="1"/>
    <row r="97" spans="1:22" hidden="1" outlineLevel="1">
      <c r="A97" s="534" t="s">
        <v>563</v>
      </c>
      <c r="B97" s="527" t="s">
        <v>555</v>
      </c>
      <c r="E97" s="102">
        <f>IF((E1&gt;=$D$7)*AND(E1&lt;=$D$9),$D$88,0)</f>
        <v>2142870</v>
      </c>
      <c r="F97" s="102">
        <f t="shared" ref="F97:V97" si="14">IF((F1&gt;=$D$7)*AND(F1&lt;=$D$9),$D$88,0)</f>
        <v>2142870</v>
      </c>
      <c r="G97" s="102">
        <f t="shared" si="14"/>
        <v>2142870</v>
      </c>
      <c r="H97" s="102">
        <f t="shared" si="14"/>
        <v>2142870</v>
      </c>
      <c r="I97" s="102">
        <f t="shared" si="14"/>
        <v>2142870</v>
      </c>
      <c r="J97" s="102">
        <f t="shared" si="14"/>
        <v>2142870</v>
      </c>
      <c r="K97" s="102">
        <f t="shared" si="14"/>
        <v>2142870</v>
      </c>
      <c r="L97" s="102">
        <f t="shared" si="14"/>
        <v>2142870</v>
      </c>
      <c r="M97" s="102">
        <f t="shared" si="14"/>
        <v>2142870</v>
      </c>
      <c r="N97" s="102">
        <f t="shared" si="14"/>
        <v>2142870</v>
      </c>
      <c r="O97" s="102">
        <f t="shared" si="14"/>
        <v>2142870</v>
      </c>
      <c r="P97" s="102">
        <f t="shared" si="14"/>
        <v>2142870</v>
      </c>
      <c r="Q97" s="102">
        <f t="shared" si="14"/>
        <v>2142870</v>
      </c>
      <c r="R97" s="102">
        <f t="shared" si="14"/>
        <v>2142870</v>
      </c>
      <c r="S97" s="102">
        <f t="shared" si="14"/>
        <v>2142870</v>
      </c>
      <c r="T97" s="102">
        <f t="shared" si="14"/>
        <v>0</v>
      </c>
      <c r="U97" s="102">
        <f t="shared" si="14"/>
        <v>0</v>
      </c>
      <c r="V97" s="102">
        <f t="shared" si="14"/>
        <v>0</v>
      </c>
    </row>
    <row r="98" spans="1:22" collapsed="1"/>
    <row r="99" spans="1:22">
      <c r="A99" s="131" t="s">
        <v>560</v>
      </c>
      <c r="E99" s="539"/>
      <c r="F99" s="539"/>
      <c r="G99" s="539"/>
      <c r="H99" s="539"/>
      <c r="I99" s="539"/>
      <c r="J99" s="539"/>
      <c r="K99" s="539"/>
      <c r="L99" s="539"/>
      <c r="M99" s="539"/>
      <c r="N99" s="539"/>
      <c r="O99" s="539"/>
      <c r="P99" s="539"/>
      <c r="Q99" s="539"/>
      <c r="R99" s="539"/>
      <c r="S99" s="539"/>
      <c r="T99" s="539"/>
      <c r="U99" s="539"/>
      <c r="V99" s="539"/>
    </row>
    <row r="100" spans="1:22" hidden="1" outlineLevel="1">
      <c r="A100" s="1" t="s">
        <v>564</v>
      </c>
      <c r="B100" s="527" t="s">
        <v>543</v>
      </c>
      <c r="E100" s="102">
        <f>SUM(E101:E115)</f>
        <v>800000</v>
      </c>
      <c r="F100" s="102">
        <f t="shared" ref="F100:V100" si="15">SUM(F101:F115)</f>
        <v>800000</v>
      </c>
      <c r="G100" s="102">
        <f t="shared" si="15"/>
        <v>800000</v>
      </c>
      <c r="H100" s="102">
        <f t="shared" si="15"/>
        <v>800000</v>
      </c>
      <c r="I100" s="102">
        <f t="shared" si="15"/>
        <v>800000</v>
      </c>
      <c r="J100" s="102">
        <f t="shared" si="15"/>
        <v>800000</v>
      </c>
      <c r="K100" s="102">
        <f t="shared" si="15"/>
        <v>800000</v>
      </c>
      <c r="L100" s="102">
        <f t="shared" si="15"/>
        <v>800000</v>
      </c>
      <c r="M100" s="102">
        <f t="shared" si="15"/>
        <v>800000</v>
      </c>
      <c r="N100" s="102">
        <f t="shared" si="15"/>
        <v>800000</v>
      </c>
      <c r="O100" s="102">
        <f t="shared" si="15"/>
        <v>800000</v>
      </c>
      <c r="P100" s="102">
        <f t="shared" si="15"/>
        <v>800000</v>
      </c>
      <c r="Q100" s="102">
        <f t="shared" si="15"/>
        <v>800000</v>
      </c>
      <c r="R100" s="102">
        <f t="shared" si="15"/>
        <v>800000</v>
      </c>
      <c r="S100" s="102">
        <f t="shared" si="15"/>
        <v>800000</v>
      </c>
      <c r="T100" s="102">
        <f t="shared" si="15"/>
        <v>0</v>
      </c>
      <c r="U100" s="102">
        <f t="shared" si="15"/>
        <v>0</v>
      </c>
      <c r="V100" s="102">
        <f t="shared" si="15"/>
        <v>0</v>
      </c>
    </row>
    <row r="101" spans="1:22" s="579" customFormat="1" hidden="1" outlineLevel="1">
      <c r="A101" s="502" t="s">
        <v>624</v>
      </c>
      <c r="B101" s="527"/>
      <c r="E101" s="102">
        <f>IF((E1&gt;=$D$7)*AND(E1&lt;=$D$9),$D$28*$D35,0)</f>
        <v>0</v>
      </c>
      <c r="F101" s="102">
        <f t="shared" ref="F101:S101" si="16">IF((F1&gt;=$D$7)*AND(F1&lt;=$D$9),$D$28*$D35,0)</f>
        <v>0</v>
      </c>
      <c r="G101" s="102">
        <f t="shared" si="16"/>
        <v>0</v>
      </c>
      <c r="H101" s="102">
        <f t="shared" si="16"/>
        <v>0</v>
      </c>
      <c r="I101" s="102">
        <f t="shared" si="16"/>
        <v>0</v>
      </c>
      <c r="J101" s="102">
        <f t="shared" si="16"/>
        <v>0</v>
      </c>
      <c r="K101" s="102">
        <f t="shared" si="16"/>
        <v>0</v>
      </c>
      <c r="L101" s="102">
        <f t="shared" si="16"/>
        <v>0</v>
      </c>
      <c r="M101" s="102">
        <f t="shared" si="16"/>
        <v>0</v>
      </c>
      <c r="N101" s="102">
        <f t="shared" si="16"/>
        <v>0</v>
      </c>
      <c r="O101" s="102">
        <f t="shared" si="16"/>
        <v>0</v>
      </c>
      <c r="P101" s="102">
        <f t="shared" si="16"/>
        <v>0</v>
      </c>
      <c r="Q101" s="102">
        <f t="shared" si="16"/>
        <v>0</v>
      </c>
      <c r="R101" s="102">
        <f t="shared" si="16"/>
        <v>0</v>
      </c>
      <c r="S101" s="102">
        <f t="shared" si="16"/>
        <v>0</v>
      </c>
      <c r="T101" s="102">
        <f>IF((T1&gt;=$D$7)*AND(T1&lt;=$D$9),$D$28*$D35,0)</f>
        <v>0</v>
      </c>
      <c r="U101" s="102">
        <f t="shared" ref="U101" si="17">IF((U1&gt;=$D$7)*AND(U1&lt;=$D$9),$D$28*$D35,0)</f>
        <v>0</v>
      </c>
      <c r="V101" s="102">
        <f>IF((V1&gt;=$D$7)*AND(V1&lt;=$D$9),$D$28*$D35,0)</f>
        <v>0</v>
      </c>
    </row>
    <row r="102" spans="1:22" s="579" customFormat="1" hidden="1" outlineLevel="1">
      <c r="A102" s="502" t="s">
        <v>623</v>
      </c>
      <c r="B102" s="527"/>
      <c r="E102" s="102">
        <f>IF((E1&gt;=$D$7)*AND(E1&lt;=$D$9),$D$28*$D36,0)</f>
        <v>0</v>
      </c>
      <c r="F102" s="102">
        <f t="shared" ref="F102:S102" si="18">IF((F1&gt;=$D$7)*AND(F1&lt;=$D$9),$D$28*$D36,0)</f>
        <v>0</v>
      </c>
      <c r="G102" s="102">
        <f t="shared" si="18"/>
        <v>0</v>
      </c>
      <c r="H102" s="102">
        <f t="shared" si="18"/>
        <v>0</v>
      </c>
      <c r="I102" s="102">
        <f t="shared" si="18"/>
        <v>0</v>
      </c>
      <c r="J102" s="102">
        <f t="shared" si="18"/>
        <v>0</v>
      </c>
      <c r="K102" s="102">
        <f t="shared" si="18"/>
        <v>0</v>
      </c>
      <c r="L102" s="102">
        <f t="shared" si="18"/>
        <v>0</v>
      </c>
      <c r="M102" s="102">
        <f t="shared" si="18"/>
        <v>0</v>
      </c>
      <c r="N102" s="102">
        <f t="shared" si="18"/>
        <v>0</v>
      </c>
      <c r="O102" s="102">
        <f t="shared" si="18"/>
        <v>0</v>
      </c>
      <c r="P102" s="102">
        <f t="shared" si="18"/>
        <v>0</v>
      </c>
      <c r="Q102" s="102">
        <f t="shared" si="18"/>
        <v>0</v>
      </c>
      <c r="R102" s="102">
        <f t="shared" si="18"/>
        <v>0</v>
      </c>
      <c r="S102" s="102">
        <f t="shared" si="18"/>
        <v>0</v>
      </c>
      <c r="T102" s="102">
        <f>IF((T1&gt;=$D$7)*AND(T1&lt;=$D$9),$D$28*$D36,0)</f>
        <v>0</v>
      </c>
      <c r="U102" s="102">
        <f t="shared" ref="U102" si="19">IF((U1&gt;=$D$7)*AND(U1&lt;=$D$9),$D$28*$D36,0)</f>
        <v>0</v>
      </c>
      <c r="V102" s="102">
        <f>IF((V1&gt;=$D$7)*AND(V1&lt;=$D$9),$D$28*$D36,0)</f>
        <v>0</v>
      </c>
    </row>
    <row r="103" spans="1:22" s="579" customFormat="1" hidden="1" outlineLevel="1">
      <c r="A103" s="502" t="s">
        <v>625</v>
      </c>
      <c r="B103" s="527"/>
      <c r="E103" s="102">
        <f>IF((E1&gt;=$D$7)*AND(E1&lt;=$D$9),$D$28*$D37,0)</f>
        <v>0</v>
      </c>
      <c r="F103" s="102">
        <f t="shared" ref="F103:S103" si="20">IF((F1&gt;=$D$7)*AND(F1&lt;=$D$9),$D$28*$D37,0)</f>
        <v>0</v>
      </c>
      <c r="G103" s="102">
        <f t="shared" si="20"/>
        <v>0</v>
      </c>
      <c r="H103" s="102">
        <f t="shared" si="20"/>
        <v>0</v>
      </c>
      <c r="I103" s="102">
        <f t="shared" si="20"/>
        <v>0</v>
      </c>
      <c r="J103" s="102">
        <f t="shared" si="20"/>
        <v>0</v>
      </c>
      <c r="K103" s="102">
        <f t="shared" si="20"/>
        <v>0</v>
      </c>
      <c r="L103" s="102">
        <f t="shared" si="20"/>
        <v>0</v>
      </c>
      <c r="M103" s="102">
        <f t="shared" si="20"/>
        <v>0</v>
      </c>
      <c r="N103" s="102">
        <f t="shared" si="20"/>
        <v>0</v>
      </c>
      <c r="O103" s="102">
        <f t="shared" si="20"/>
        <v>0</v>
      </c>
      <c r="P103" s="102">
        <f t="shared" si="20"/>
        <v>0</v>
      </c>
      <c r="Q103" s="102">
        <f t="shared" si="20"/>
        <v>0</v>
      </c>
      <c r="R103" s="102">
        <f t="shared" si="20"/>
        <v>0</v>
      </c>
      <c r="S103" s="102">
        <f t="shared" si="20"/>
        <v>0</v>
      </c>
      <c r="T103" s="102">
        <f>IF((T1&gt;=$D$7)*AND(T1&lt;=$D$9),$D$28*$D37,0)</f>
        <v>0</v>
      </c>
      <c r="U103" s="102">
        <f t="shared" ref="U103" si="21">IF((U1&gt;=$D$7)*AND(U1&lt;=$D$9),$D$28*$D37,0)</f>
        <v>0</v>
      </c>
      <c r="V103" s="102">
        <f>IF((V1&gt;=$D$7)*AND(V1&lt;=$D$9),$D$28*$D37,0)</f>
        <v>0</v>
      </c>
    </row>
    <row r="104" spans="1:22" hidden="1" outlineLevel="1">
      <c r="A104" s="140" t="s">
        <v>568</v>
      </c>
      <c r="E104" s="102">
        <f>IF((E1&gt;=$D$7)*AND(E1&lt;=$D$9),$D$28*$D38,0)</f>
        <v>240000</v>
      </c>
      <c r="F104" s="102">
        <f t="shared" ref="F104:S104" si="22">IF((F1&gt;=$D$7)*AND(F1&lt;=$D$9),$D$28*$D38,0)</f>
        <v>240000</v>
      </c>
      <c r="G104" s="102">
        <f t="shared" si="22"/>
        <v>240000</v>
      </c>
      <c r="H104" s="102">
        <f t="shared" si="22"/>
        <v>240000</v>
      </c>
      <c r="I104" s="102">
        <f t="shared" si="22"/>
        <v>240000</v>
      </c>
      <c r="J104" s="102">
        <f t="shared" si="22"/>
        <v>240000</v>
      </c>
      <c r="K104" s="102">
        <f t="shared" si="22"/>
        <v>240000</v>
      </c>
      <c r="L104" s="102">
        <f t="shared" si="22"/>
        <v>240000</v>
      </c>
      <c r="M104" s="102">
        <f t="shared" si="22"/>
        <v>240000</v>
      </c>
      <c r="N104" s="102">
        <f t="shared" si="22"/>
        <v>240000</v>
      </c>
      <c r="O104" s="102">
        <f t="shared" si="22"/>
        <v>240000</v>
      </c>
      <c r="P104" s="102">
        <f t="shared" si="22"/>
        <v>240000</v>
      </c>
      <c r="Q104" s="102">
        <f t="shared" si="22"/>
        <v>240000</v>
      </c>
      <c r="R104" s="102">
        <f t="shared" si="22"/>
        <v>240000</v>
      </c>
      <c r="S104" s="102">
        <f t="shared" si="22"/>
        <v>240000</v>
      </c>
      <c r="T104" s="102">
        <f>IF((T1&gt;=$D$7)*AND(T1&lt;=$D$9),$D$28*$D38,0)</f>
        <v>0</v>
      </c>
      <c r="U104" s="102">
        <f t="shared" ref="U104" si="23">IF((U1&gt;=$D$7)*AND(U1&lt;=$D$9),$D$28*$D38,0)</f>
        <v>0</v>
      </c>
      <c r="V104" s="102">
        <f>IF((V1&gt;=$D$7)*AND(V1&lt;=$D$9),$D$28*$D38,0)</f>
        <v>0</v>
      </c>
    </row>
    <row r="105" spans="1:22" hidden="1" outlineLevel="1">
      <c r="A105" s="140" t="s">
        <v>569</v>
      </c>
      <c r="E105" s="102">
        <f>IF((E1&gt;=$D$7)*AND(E1&lt;=$D$9),$D$28*$D39,0)</f>
        <v>0</v>
      </c>
      <c r="F105" s="102">
        <f t="shared" ref="F105:S105" si="24">IF((F1&gt;=$D$7)*AND(F1&lt;=$D$9),$D$28*$D39,0)</f>
        <v>0</v>
      </c>
      <c r="G105" s="102">
        <f t="shared" si="24"/>
        <v>0</v>
      </c>
      <c r="H105" s="102">
        <f t="shared" si="24"/>
        <v>0</v>
      </c>
      <c r="I105" s="102">
        <f t="shared" si="24"/>
        <v>0</v>
      </c>
      <c r="J105" s="102">
        <f t="shared" si="24"/>
        <v>0</v>
      </c>
      <c r="K105" s="102">
        <f t="shared" si="24"/>
        <v>0</v>
      </c>
      <c r="L105" s="102">
        <f t="shared" si="24"/>
        <v>0</v>
      </c>
      <c r="M105" s="102">
        <f t="shared" si="24"/>
        <v>0</v>
      </c>
      <c r="N105" s="102">
        <f t="shared" si="24"/>
        <v>0</v>
      </c>
      <c r="O105" s="102">
        <f t="shared" si="24"/>
        <v>0</v>
      </c>
      <c r="P105" s="102">
        <f t="shared" si="24"/>
        <v>0</v>
      </c>
      <c r="Q105" s="102">
        <f t="shared" si="24"/>
        <v>0</v>
      </c>
      <c r="R105" s="102">
        <f t="shared" si="24"/>
        <v>0</v>
      </c>
      <c r="S105" s="102">
        <f t="shared" si="24"/>
        <v>0</v>
      </c>
      <c r="T105" s="102">
        <f>IF((T1&gt;=$D$7)*AND(T1&lt;=$D$9),$D$28*$D39,0)</f>
        <v>0</v>
      </c>
      <c r="U105" s="102">
        <f t="shared" ref="U105" si="25">IF((U1&gt;=$D$7)*AND(U1&lt;=$D$9),$D$28*$D39,0)</f>
        <v>0</v>
      </c>
      <c r="V105" s="102">
        <f>IF((V1&gt;=$D$7)*AND(V1&lt;=$D$9),$D$28*$D39,0)</f>
        <v>0</v>
      </c>
    </row>
    <row r="106" spans="1:22" hidden="1" outlineLevel="1">
      <c r="A106" s="140" t="s">
        <v>570</v>
      </c>
      <c r="E106" s="102">
        <f>IF((E1&gt;=$D$7)*AND(E1&lt;=$D$9),$D$28*$D40,0)</f>
        <v>0</v>
      </c>
      <c r="F106" s="102">
        <f t="shared" ref="F106:S106" si="26">IF((F1&gt;=$D$7)*AND(F1&lt;=$D$9),$D$28*$D40,0)</f>
        <v>0</v>
      </c>
      <c r="G106" s="102">
        <f t="shared" si="26"/>
        <v>0</v>
      </c>
      <c r="H106" s="102">
        <f t="shared" si="26"/>
        <v>0</v>
      </c>
      <c r="I106" s="102">
        <f t="shared" si="26"/>
        <v>0</v>
      </c>
      <c r="J106" s="102">
        <f t="shared" si="26"/>
        <v>0</v>
      </c>
      <c r="K106" s="102">
        <f t="shared" si="26"/>
        <v>0</v>
      </c>
      <c r="L106" s="102">
        <f t="shared" si="26"/>
        <v>0</v>
      </c>
      <c r="M106" s="102">
        <f t="shared" si="26"/>
        <v>0</v>
      </c>
      <c r="N106" s="102">
        <f t="shared" si="26"/>
        <v>0</v>
      </c>
      <c r="O106" s="102">
        <f t="shared" si="26"/>
        <v>0</v>
      </c>
      <c r="P106" s="102">
        <f t="shared" si="26"/>
        <v>0</v>
      </c>
      <c r="Q106" s="102">
        <f t="shared" si="26"/>
        <v>0</v>
      </c>
      <c r="R106" s="102">
        <f t="shared" si="26"/>
        <v>0</v>
      </c>
      <c r="S106" s="102">
        <f t="shared" si="26"/>
        <v>0</v>
      </c>
      <c r="T106" s="102">
        <f>IF((T1&gt;=$D$7)*AND(T1&lt;=$D$9),$D$28*$D40,0)</f>
        <v>0</v>
      </c>
      <c r="U106" s="102">
        <f t="shared" ref="U106" si="27">IF((U1&gt;=$D$7)*AND(U1&lt;=$D$9),$D$28*$D40,0)</f>
        <v>0</v>
      </c>
      <c r="V106" s="102">
        <f>IF((V1&gt;=$D$7)*AND(V1&lt;=$D$9),$D$28*$D40,0)</f>
        <v>0</v>
      </c>
    </row>
    <row r="107" spans="1:22" s="579" customFormat="1" hidden="1" outlineLevel="1">
      <c r="A107" s="140" t="s">
        <v>611</v>
      </c>
      <c r="B107" s="527"/>
      <c r="E107" s="102">
        <f>IF((E1&gt;=$D$7)*AND(E1&lt;=$D$9),$D$28*$D41,0)</f>
        <v>0</v>
      </c>
      <c r="F107" s="102">
        <f t="shared" ref="F107:S107" si="28">IF((F1&gt;=$D$7)*AND(F1&lt;=$D$9),$D$28*$D41,0)</f>
        <v>0</v>
      </c>
      <c r="G107" s="102">
        <f t="shared" si="28"/>
        <v>0</v>
      </c>
      <c r="H107" s="102">
        <f t="shared" si="28"/>
        <v>0</v>
      </c>
      <c r="I107" s="102">
        <f t="shared" si="28"/>
        <v>0</v>
      </c>
      <c r="J107" s="102">
        <f t="shared" si="28"/>
        <v>0</v>
      </c>
      <c r="K107" s="102">
        <f t="shared" si="28"/>
        <v>0</v>
      </c>
      <c r="L107" s="102">
        <f t="shared" si="28"/>
        <v>0</v>
      </c>
      <c r="M107" s="102">
        <f t="shared" si="28"/>
        <v>0</v>
      </c>
      <c r="N107" s="102">
        <f t="shared" si="28"/>
        <v>0</v>
      </c>
      <c r="O107" s="102">
        <f t="shared" si="28"/>
        <v>0</v>
      </c>
      <c r="P107" s="102">
        <f t="shared" si="28"/>
        <v>0</v>
      </c>
      <c r="Q107" s="102">
        <f t="shared" si="28"/>
        <v>0</v>
      </c>
      <c r="R107" s="102">
        <f t="shared" si="28"/>
        <v>0</v>
      </c>
      <c r="S107" s="102">
        <f t="shared" si="28"/>
        <v>0</v>
      </c>
      <c r="T107" s="102">
        <f>IF((T1&gt;=$D$7)*AND(T1&lt;=$D$9),$D$28*$D41,0)</f>
        <v>0</v>
      </c>
      <c r="U107" s="102">
        <f t="shared" ref="U107" si="29">IF((U1&gt;=$D$7)*AND(U1&lt;=$D$9),$D$28*$D41,0)</f>
        <v>0</v>
      </c>
      <c r="V107" s="102">
        <f>IF((V1&gt;=$D$7)*AND(V1&lt;=$D$9),$D$28*$D41,0)</f>
        <v>0</v>
      </c>
    </row>
    <row r="108" spans="1:22" s="579" customFormat="1" hidden="1" outlineLevel="1">
      <c r="A108" s="140" t="s">
        <v>612</v>
      </c>
      <c r="B108" s="527"/>
      <c r="E108" s="102">
        <f>IF((E1&gt;=$D$7)*AND(E1&lt;=$D$9),$D$28*$D42,0)</f>
        <v>0</v>
      </c>
      <c r="F108" s="102">
        <f t="shared" ref="F108:S108" si="30">IF((F1&gt;=$D$7)*AND(F1&lt;=$D$9),$D$28*$D42,0)</f>
        <v>0</v>
      </c>
      <c r="G108" s="102">
        <f t="shared" si="30"/>
        <v>0</v>
      </c>
      <c r="H108" s="102">
        <f t="shared" si="30"/>
        <v>0</v>
      </c>
      <c r="I108" s="102">
        <f t="shared" si="30"/>
        <v>0</v>
      </c>
      <c r="J108" s="102">
        <f t="shared" si="30"/>
        <v>0</v>
      </c>
      <c r="K108" s="102">
        <f t="shared" si="30"/>
        <v>0</v>
      </c>
      <c r="L108" s="102">
        <f t="shared" si="30"/>
        <v>0</v>
      </c>
      <c r="M108" s="102">
        <f t="shared" si="30"/>
        <v>0</v>
      </c>
      <c r="N108" s="102">
        <f t="shared" si="30"/>
        <v>0</v>
      </c>
      <c r="O108" s="102">
        <f t="shared" si="30"/>
        <v>0</v>
      </c>
      <c r="P108" s="102">
        <f t="shared" si="30"/>
        <v>0</v>
      </c>
      <c r="Q108" s="102">
        <f t="shared" si="30"/>
        <v>0</v>
      </c>
      <c r="R108" s="102">
        <f t="shared" si="30"/>
        <v>0</v>
      </c>
      <c r="S108" s="102">
        <f t="shared" si="30"/>
        <v>0</v>
      </c>
      <c r="T108" s="102">
        <f>IF((T1&gt;=$D$7)*AND(T1&lt;=$D$9),$D$28*$D42,0)</f>
        <v>0</v>
      </c>
      <c r="U108" s="102">
        <f t="shared" ref="U108" si="31">IF((U1&gt;=$D$7)*AND(U1&lt;=$D$9),$D$28*$D42,0)</f>
        <v>0</v>
      </c>
      <c r="V108" s="102">
        <f>IF((V1&gt;=$D$7)*AND(V1&lt;=$D$9),$D$28*$D42,0)</f>
        <v>0</v>
      </c>
    </row>
    <row r="109" spans="1:22" s="579" customFormat="1" hidden="1" outlineLevel="1">
      <c r="A109" s="140" t="s">
        <v>613</v>
      </c>
      <c r="B109" s="527"/>
      <c r="E109" s="102">
        <f>IF((E1&gt;=$D$7)*AND(E1&lt;=$D$9),$D$28*$D43,0)</f>
        <v>0</v>
      </c>
      <c r="F109" s="102">
        <f t="shared" ref="F109:S109" si="32">IF((F1&gt;=$D$7)*AND(F1&lt;=$D$9),$D$28*$D43,0)</f>
        <v>0</v>
      </c>
      <c r="G109" s="102">
        <f t="shared" si="32"/>
        <v>0</v>
      </c>
      <c r="H109" s="102">
        <f t="shared" si="32"/>
        <v>0</v>
      </c>
      <c r="I109" s="102">
        <f t="shared" si="32"/>
        <v>0</v>
      </c>
      <c r="J109" s="102">
        <f t="shared" si="32"/>
        <v>0</v>
      </c>
      <c r="K109" s="102">
        <f t="shared" si="32"/>
        <v>0</v>
      </c>
      <c r="L109" s="102">
        <f t="shared" si="32"/>
        <v>0</v>
      </c>
      <c r="M109" s="102">
        <f t="shared" si="32"/>
        <v>0</v>
      </c>
      <c r="N109" s="102">
        <f t="shared" si="32"/>
        <v>0</v>
      </c>
      <c r="O109" s="102">
        <f t="shared" si="32"/>
        <v>0</v>
      </c>
      <c r="P109" s="102">
        <f t="shared" si="32"/>
        <v>0</v>
      </c>
      <c r="Q109" s="102">
        <f t="shared" si="32"/>
        <v>0</v>
      </c>
      <c r="R109" s="102">
        <f t="shared" si="32"/>
        <v>0</v>
      </c>
      <c r="S109" s="102">
        <f t="shared" si="32"/>
        <v>0</v>
      </c>
      <c r="T109" s="102">
        <f>IF((T1&gt;=$D$7)*AND(T1&lt;=$D$9),$D$28*$D43,0)</f>
        <v>0</v>
      </c>
      <c r="U109" s="102">
        <f t="shared" ref="U109" si="33">IF((U1&gt;=$D$7)*AND(U1&lt;=$D$9),$D$28*$D43,0)</f>
        <v>0</v>
      </c>
      <c r="V109" s="102">
        <f>IF((V1&gt;=$D$7)*AND(V1&lt;=$D$9),$D$28*$D43,0)</f>
        <v>0</v>
      </c>
    </row>
    <row r="110" spans="1:22" s="541" customFormat="1" hidden="1" outlineLevel="1">
      <c r="A110" s="140" t="s">
        <v>574</v>
      </c>
      <c r="B110" s="527"/>
      <c r="E110" s="102">
        <f>IF((E1&gt;=$D$7)*AND(E1&lt;=$D$9),$D$28*$D44,0)</f>
        <v>400000</v>
      </c>
      <c r="F110" s="102">
        <f t="shared" ref="F110:S110" si="34">IF((F1&gt;=$D$7)*AND(F1&lt;=$D$9),$D$28*$D44,0)</f>
        <v>400000</v>
      </c>
      <c r="G110" s="102">
        <f t="shared" si="34"/>
        <v>400000</v>
      </c>
      <c r="H110" s="102">
        <f t="shared" si="34"/>
        <v>400000</v>
      </c>
      <c r="I110" s="102">
        <f t="shared" si="34"/>
        <v>400000</v>
      </c>
      <c r="J110" s="102">
        <f t="shared" si="34"/>
        <v>400000</v>
      </c>
      <c r="K110" s="102">
        <f t="shared" si="34"/>
        <v>400000</v>
      </c>
      <c r="L110" s="102">
        <f t="shared" si="34"/>
        <v>400000</v>
      </c>
      <c r="M110" s="102">
        <f t="shared" si="34"/>
        <v>400000</v>
      </c>
      <c r="N110" s="102">
        <f t="shared" si="34"/>
        <v>400000</v>
      </c>
      <c r="O110" s="102">
        <f t="shared" si="34"/>
        <v>400000</v>
      </c>
      <c r="P110" s="102">
        <f t="shared" si="34"/>
        <v>400000</v>
      </c>
      <c r="Q110" s="102">
        <f t="shared" si="34"/>
        <v>400000</v>
      </c>
      <c r="R110" s="102">
        <f t="shared" si="34"/>
        <v>400000</v>
      </c>
      <c r="S110" s="102">
        <f t="shared" si="34"/>
        <v>400000</v>
      </c>
      <c r="T110" s="102">
        <f>IF((T1&gt;=$D$7)*AND(T1&lt;=$D$9),$D$28*$D44,0)</f>
        <v>0</v>
      </c>
      <c r="U110" s="102">
        <f t="shared" ref="U110" si="35">IF((U1&gt;=$D$7)*AND(U1&lt;=$D$9),$D$28*$D44,0)</f>
        <v>0</v>
      </c>
      <c r="V110" s="102">
        <f>IF((V1&gt;=$D$7)*AND(V1&lt;=$D$9),$D$28*$D44,0)</f>
        <v>0</v>
      </c>
    </row>
    <row r="111" spans="1:22" s="541" customFormat="1" hidden="1" outlineLevel="1">
      <c r="A111" s="140" t="s">
        <v>575</v>
      </c>
      <c r="B111" s="527"/>
      <c r="E111" s="102">
        <f>IF((E1&gt;=$D$7)*AND(E1&lt;=$D$9),$D$28*$D45,0)</f>
        <v>160000</v>
      </c>
      <c r="F111" s="102">
        <f t="shared" ref="F111:S111" si="36">IF((F1&gt;=$D$7)*AND(F1&lt;=$D$9),$D$28*$D45,0)</f>
        <v>160000</v>
      </c>
      <c r="G111" s="102">
        <f t="shared" si="36"/>
        <v>160000</v>
      </c>
      <c r="H111" s="102">
        <f t="shared" si="36"/>
        <v>160000</v>
      </c>
      <c r="I111" s="102">
        <f t="shared" si="36"/>
        <v>160000</v>
      </c>
      <c r="J111" s="102">
        <f t="shared" si="36"/>
        <v>160000</v>
      </c>
      <c r="K111" s="102">
        <f t="shared" si="36"/>
        <v>160000</v>
      </c>
      <c r="L111" s="102">
        <f t="shared" si="36"/>
        <v>160000</v>
      </c>
      <c r="M111" s="102">
        <f t="shared" si="36"/>
        <v>160000</v>
      </c>
      <c r="N111" s="102">
        <f t="shared" si="36"/>
        <v>160000</v>
      </c>
      <c r="O111" s="102">
        <f t="shared" si="36"/>
        <v>160000</v>
      </c>
      <c r="P111" s="102">
        <f t="shared" si="36"/>
        <v>160000</v>
      </c>
      <c r="Q111" s="102">
        <f t="shared" si="36"/>
        <v>160000</v>
      </c>
      <c r="R111" s="102">
        <f t="shared" si="36"/>
        <v>160000</v>
      </c>
      <c r="S111" s="102">
        <f t="shared" si="36"/>
        <v>160000</v>
      </c>
      <c r="T111" s="102">
        <f>IF((T1&gt;=$D$7)*AND(T1&lt;=$D$9),$D$28*$D45,0)</f>
        <v>0</v>
      </c>
      <c r="U111" s="102">
        <f t="shared" ref="U111" si="37">IF((U1&gt;=$D$7)*AND(U1&lt;=$D$9),$D$28*$D45,0)</f>
        <v>0</v>
      </c>
      <c r="V111" s="102">
        <f>IF((V1&gt;=$D$7)*AND(V1&lt;=$D$9),$D$28*$D45,0)</f>
        <v>0</v>
      </c>
    </row>
    <row r="112" spans="1:22" s="541" customFormat="1" hidden="1" outlineLevel="1">
      <c r="A112" s="140" t="s">
        <v>576</v>
      </c>
      <c r="B112" s="527"/>
      <c r="E112" s="102">
        <f>IF((E1&gt;=$D$7)*AND(E1&lt;=$D$9),$D$28*$D46,0)</f>
        <v>0</v>
      </c>
      <c r="F112" s="102">
        <f t="shared" ref="F112:S112" si="38">IF((F1&gt;=$D$7)*AND(F1&lt;=$D$9),$D$28*$D46,0)</f>
        <v>0</v>
      </c>
      <c r="G112" s="102">
        <f t="shared" si="38"/>
        <v>0</v>
      </c>
      <c r="H112" s="102">
        <f t="shared" si="38"/>
        <v>0</v>
      </c>
      <c r="I112" s="102">
        <f t="shared" si="38"/>
        <v>0</v>
      </c>
      <c r="J112" s="102">
        <f t="shared" si="38"/>
        <v>0</v>
      </c>
      <c r="K112" s="102">
        <f t="shared" si="38"/>
        <v>0</v>
      </c>
      <c r="L112" s="102">
        <f t="shared" si="38"/>
        <v>0</v>
      </c>
      <c r="M112" s="102">
        <f t="shared" si="38"/>
        <v>0</v>
      </c>
      <c r="N112" s="102">
        <f t="shared" si="38"/>
        <v>0</v>
      </c>
      <c r="O112" s="102">
        <f t="shared" si="38"/>
        <v>0</v>
      </c>
      <c r="P112" s="102">
        <f t="shared" si="38"/>
        <v>0</v>
      </c>
      <c r="Q112" s="102">
        <f t="shared" si="38"/>
        <v>0</v>
      </c>
      <c r="R112" s="102">
        <f t="shared" si="38"/>
        <v>0</v>
      </c>
      <c r="S112" s="102">
        <f t="shared" si="38"/>
        <v>0</v>
      </c>
      <c r="T112" s="102">
        <f>IF((T1&gt;=$D$7)*AND(T1&lt;=$D$9),$D$28*$D46,0)</f>
        <v>0</v>
      </c>
      <c r="U112" s="102">
        <f t="shared" ref="U112" si="39">IF((U1&gt;=$D$7)*AND(U1&lt;=$D$9),$D$28*$D46,0)</f>
        <v>0</v>
      </c>
      <c r="V112" s="102">
        <f>IF((V1&gt;=$D$7)*AND(V1&lt;=$D$9),$D$28*$D46,0)</f>
        <v>0</v>
      </c>
    </row>
    <row r="113" spans="1:22" s="579" customFormat="1" hidden="1" outlineLevel="1">
      <c r="A113" s="140" t="s">
        <v>620</v>
      </c>
      <c r="B113" s="527"/>
      <c r="E113" s="102">
        <f>IF((E1&gt;=$D$7)*AND(E1&lt;=$D$9),$D$28*$D47,0)</f>
        <v>0</v>
      </c>
      <c r="F113" s="102">
        <f t="shared" ref="F113:S113" si="40">IF((F1&gt;=$D$7)*AND(F1&lt;=$D$9),$D$28*$D47,0)</f>
        <v>0</v>
      </c>
      <c r="G113" s="102">
        <f t="shared" si="40"/>
        <v>0</v>
      </c>
      <c r="H113" s="102">
        <f t="shared" si="40"/>
        <v>0</v>
      </c>
      <c r="I113" s="102">
        <f t="shared" si="40"/>
        <v>0</v>
      </c>
      <c r="J113" s="102">
        <f t="shared" si="40"/>
        <v>0</v>
      </c>
      <c r="K113" s="102">
        <f t="shared" si="40"/>
        <v>0</v>
      </c>
      <c r="L113" s="102">
        <f t="shared" si="40"/>
        <v>0</v>
      </c>
      <c r="M113" s="102">
        <f t="shared" si="40"/>
        <v>0</v>
      </c>
      <c r="N113" s="102">
        <f t="shared" si="40"/>
        <v>0</v>
      </c>
      <c r="O113" s="102">
        <f t="shared" si="40"/>
        <v>0</v>
      </c>
      <c r="P113" s="102">
        <f t="shared" si="40"/>
        <v>0</v>
      </c>
      <c r="Q113" s="102">
        <f t="shared" si="40"/>
        <v>0</v>
      </c>
      <c r="R113" s="102">
        <f t="shared" si="40"/>
        <v>0</v>
      </c>
      <c r="S113" s="102">
        <f t="shared" si="40"/>
        <v>0</v>
      </c>
      <c r="T113" s="102">
        <f>IF((T1&gt;=$D$7)*AND(T1&lt;=$D$9),$D$28*$D47,0)</f>
        <v>0</v>
      </c>
      <c r="U113" s="102">
        <f t="shared" ref="U113" si="41">IF((U1&gt;=$D$7)*AND(U1&lt;=$D$9),$D$28*$D47,0)</f>
        <v>0</v>
      </c>
      <c r="V113" s="102">
        <f>IF((V1&gt;=$D$7)*AND(V1&lt;=$D$9),$D$28*$D47,0)</f>
        <v>0</v>
      </c>
    </row>
    <row r="114" spans="1:22" s="579" customFormat="1" hidden="1" outlineLevel="1">
      <c r="A114" s="140" t="s">
        <v>621</v>
      </c>
      <c r="B114" s="527"/>
      <c r="E114" s="102">
        <f>IF((E1&gt;=$D$7)*AND(E1&lt;=$D$9),$D$28*$D48,0)</f>
        <v>0</v>
      </c>
      <c r="F114" s="102">
        <f t="shared" ref="F114:S114" si="42">IF((F1&gt;=$D$7)*AND(F1&lt;=$D$9),$D$28*$D48,0)</f>
        <v>0</v>
      </c>
      <c r="G114" s="102">
        <f t="shared" si="42"/>
        <v>0</v>
      </c>
      <c r="H114" s="102">
        <f t="shared" si="42"/>
        <v>0</v>
      </c>
      <c r="I114" s="102">
        <f t="shared" si="42"/>
        <v>0</v>
      </c>
      <c r="J114" s="102">
        <f t="shared" si="42"/>
        <v>0</v>
      </c>
      <c r="K114" s="102">
        <f t="shared" si="42"/>
        <v>0</v>
      </c>
      <c r="L114" s="102">
        <f t="shared" si="42"/>
        <v>0</v>
      </c>
      <c r="M114" s="102">
        <f t="shared" si="42"/>
        <v>0</v>
      </c>
      <c r="N114" s="102">
        <f t="shared" si="42"/>
        <v>0</v>
      </c>
      <c r="O114" s="102">
        <f t="shared" si="42"/>
        <v>0</v>
      </c>
      <c r="P114" s="102">
        <f t="shared" si="42"/>
        <v>0</v>
      </c>
      <c r="Q114" s="102">
        <f t="shared" si="42"/>
        <v>0</v>
      </c>
      <c r="R114" s="102">
        <f t="shared" si="42"/>
        <v>0</v>
      </c>
      <c r="S114" s="102">
        <f t="shared" si="42"/>
        <v>0</v>
      </c>
      <c r="T114" s="102">
        <f>IF((T1&gt;=$D$7)*AND(T1&lt;=$D$9),$D$28*$D48,0)</f>
        <v>0</v>
      </c>
      <c r="U114" s="102">
        <f t="shared" ref="U114" si="43">IF((U1&gt;=$D$7)*AND(U1&lt;=$D$9),$D$28*$D48,0)</f>
        <v>0</v>
      </c>
      <c r="V114" s="102">
        <f>IF((V1&gt;=$D$7)*AND(V1&lt;=$D$9),$D$28*$D48,0)</f>
        <v>0</v>
      </c>
    </row>
    <row r="115" spans="1:22" s="579" customFormat="1" hidden="1" outlineLevel="1">
      <c r="A115" s="140" t="s">
        <v>622</v>
      </c>
      <c r="B115" s="527"/>
      <c r="E115" s="102">
        <f>IF((E1&gt;=$D$7)*AND(E1&lt;=$D$9),$D$28*$D49,0)</f>
        <v>0</v>
      </c>
      <c r="F115" s="102">
        <f t="shared" ref="F115:S115" si="44">IF((F1&gt;=$D$7)*AND(F1&lt;=$D$9),$D$28*$D49,0)</f>
        <v>0</v>
      </c>
      <c r="G115" s="102">
        <f t="shared" si="44"/>
        <v>0</v>
      </c>
      <c r="H115" s="102">
        <f t="shared" si="44"/>
        <v>0</v>
      </c>
      <c r="I115" s="102">
        <f t="shared" si="44"/>
        <v>0</v>
      </c>
      <c r="J115" s="102">
        <f t="shared" si="44"/>
        <v>0</v>
      </c>
      <c r="K115" s="102">
        <f t="shared" si="44"/>
        <v>0</v>
      </c>
      <c r="L115" s="102">
        <f t="shared" si="44"/>
        <v>0</v>
      </c>
      <c r="M115" s="102">
        <f t="shared" si="44"/>
        <v>0</v>
      </c>
      <c r="N115" s="102">
        <f t="shared" si="44"/>
        <v>0</v>
      </c>
      <c r="O115" s="102">
        <f t="shared" si="44"/>
        <v>0</v>
      </c>
      <c r="P115" s="102">
        <f t="shared" si="44"/>
        <v>0</v>
      </c>
      <c r="Q115" s="102">
        <f t="shared" si="44"/>
        <v>0</v>
      </c>
      <c r="R115" s="102">
        <f t="shared" si="44"/>
        <v>0</v>
      </c>
      <c r="S115" s="102">
        <f t="shared" si="44"/>
        <v>0</v>
      </c>
      <c r="T115" s="102">
        <f>IF((T1&gt;=$D$7)*AND(T1&lt;=$D$9),$D$28*$D49,0)</f>
        <v>0</v>
      </c>
      <c r="U115" s="102">
        <f t="shared" ref="U115" si="45">IF((U1&gt;=$D$7)*AND(U1&lt;=$D$9),$D$28*$D49,0)</f>
        <v>0</v>
      </c>
      <c r="V115" s="102">
        <f>IF((V1&gt;=$D$7)*AND(V1&lt;=$D$9),$D$28*$D49,0)</f>
        <v>0</v>
      </c>
    </row>
    <row r="116" spans="1:22" hidden="1" outlineLevel="1">
      <c r="E116" s="539"/>
      <c r="F116" s="539"/>
      <c r="G116" s="539"/>
      <c r="H116" s="539"/>
      <c r="I116" s="539"/>
      <c r="J116" s="539"/>
      <c r="K116" s="539"/>
      <c r="L116" s="539"/>
      <c r="M116" s="539"/>
      <c r="N116" s="539"/>
      <c r="O116" s="539"/>
      <c r="P116" s="539"/>
      <c r="Q116" s="539"/>
      <c r="R116" s="539"/>
      <c r="S116" s="539"/>
      <c r="T116" s="539"/>
      <c r="U116" s="539"/>
      <c r="V116" s="539"/>
    </row>
    <row r="117" spans="1:22" hidden="1" outlineLevel="1">
      <c r="A117" s="534" t="s">
        <v>565</v>
      </c>
      <c r="B117" s="527" t="s">
        <v>543</v>
      </c>
      <c r="E117" s="102">
        <f>SUM(E118:E132)</f>
        <v>200000</v>
      </c>
      <c r="F117" s="102">
        <f t="shared" ref="F117:V117" si="46">SUM(F118:F132)</f>
        <v>200000</v>
      </c>
      <c r="G117" s="102">
        <f t="shared" si="46"/>
        <v>200000</v>
      </c>
      <c r="H117" s="102">
        <f t="shared" si="46"/>
        <v>200000</v>
      </c>
      <c r="I117" s="102">
        <f t="shared" si="46"/>
        <v>200000</v>
      </c>
      <c r="J117" s="102">
        <f t="shared" si="46"/>
        <v>200000</v>
      </c>
      <c r="K117" s="102">
        <f t="shared" si="46"/>
        <v>200000</v>
      </c>
      <c r="L117" s="102">
        <f t="shared" si="46"/>
        <v>200000</v>
      </c>
      <c r="M117" s="102">
        <f t="shared" si="46"/>
        <v>200000</v>
      </c>
      <c r="N117" s="102">
        <f t="shared" si="46"/>
        <v>200000</v>
      </c>
      <c r="O117" s="102">
        <f t="shared" si="46"/>
        <v>200000</v>
      </c>
      <c r="P117" s="102">
        <f t="shared" si="46"/>
        <v>200000</v>
      </c>
      <c r="Q117" s="102">
        <f t="shared" si="46"/>
        <v>200000</v>
      </c>
      <c r="R117" s="102">
        <f t="shared" si="46"/>
        <v>200000</v>
      </c>
      <c r="S117" s="102">
        <f t="shared" si="46"/>
        <v>200000</v>
      </c>
      <c r="T117" s="102">
        <f t="shared" si="46"/>
        <v>0</v>
      </c>
      <c r="U117" s="102">
        <f t="shared" si="46"/>
        <v>0</v>
      </c>
      <c r="V117" s="102">
        <f t="shared" si="46"/>
        <v>0</v>
      </c>
    </row>
    <row r="118" spans="1:22" s="579" customFormat="1" hidden="1" outlineLevel="1">
      <c r="A118" s="502" t="s">
        <v>624</v>
      </c>
      <c r="B118" s="527"/>
      <c r="E118" s="102">
        <f>IF((E1&gt;=$D$7)*AND(E1&lt;=$D$9),$D$63*$D66,0)</f>
        <v>0</v>
      </c>
      <c r="F118" s="102">
        <f t="shared" ref="F118:V118" si="47">IF((F1&gt;=$D$7)*AND(F1&lt;=$D$9),$D$63*$D66,0)</f>
        <v>0</v>
      </c>
      <c r="G118" s="102">
        <f t="shared" si="47"/>
        <v>0</v>
      </c>
      <c r="H118" s="102">
        <f t="shared" si="47"/>
        <v>0</v>
      </c>
      <c r="I118" s="102">
        <f t="shared" si="47"/>
        <v>0</v>
      </c>
      <c r="J118" s="102">
        <f t="shared" si="47"/>
        <v>0</v>
      </c>
      <c r="K118" s="102">
        <f t="shared" si="47"/>
        <v>0</v>
      </c>
      <c r="L118" s="102">
        <f t="shared" si="47"/>
        <v>0</v>
      </c>
      <c r="M118" s="102">
        <f t="shared" si="47"/>
        <v>0</v>
      </c>
      <c r="N118" s="102">
        <f t="shared" si="47"/>
        <v>0</v>
      </c>
      <c r="O118" s="102">
        <f t="shared" si="47"/>
        <v>0</v>
      </c>
      <c r="P118" s="102">
        <f t="shared" si="47"/>
        <v>0</v>
      </c>
      <c r="Q118" s="102">
        <f t="shared" si="47"/>
        <v>0</v>
      </c>
      <c r="R118" s="102">
        <f t="shared" si="47"/>
        <v>0</v>
      </c>
      <c r="S118" s="102">
        <f t="shared" si="47"/>
        <v>0</v>
      </c>
      <c r="T118" s="102">
        <f t="shared" si="47"/>
        <v>0</v>
      </c>
      <c r="U118" s="102">
        <f t="shared" si="47"/>
        <v>0</v>
      </c>
      <c r="V118" s="102">
        <f t="shared" si="47"/>
        <v>0</v>
      </c>
    </row>
    <row r="119" spans="1:22" s="579" customFormat="1" hidden="1" outlineLevel="1">
      <c r="A119" s="502" t="s">
        <v>623</v>
      </c>
      <c r="B119" s="527"/>
      <c r="E119" s="102">
        <f>IF((E1&gt;=$D$7)*AND(E1&lt;=$D$9),$D$63*$D67,0)</f>
        <v>0</v>
      </c>
      <c r="F119" s="102">
        <f t="shared" ref="F119:V119" si="48">IF((F1&gt;=$D$7)*AND(F1&lt;=$D$9),$D$63*$D67,0)</f>
        <v>0</v>
      </c>
      <c r="G119" s="102">
        <f t="shared" si="48"/>
        <v>0</v>
      </c>
      <c r="H119" s="102">
        <f t="shared" si="48"/>
        <v>0</v>
      </c>
      <c r="I119" s="102">
        <f t="shared" si="48"/>
        <v>0</v>
      </c>
      <c r="J119" s="102">
        <f t="shared" si="48"/>
        <v>0</v>
      </c>
      <c r="K119" s="102">
        <f t="shared" si="48"/>
        <v>0</v>
      </c>
      <c r="L119" s="102">
        <f t="shared" si="48"/>
        <v>0</v>
      </c>
      <c r="M119" s="102">
        <f t="shared" si="48"/>
        <v>0</v>
      </c>
      <c r="N119" s="102">
        <f t="shared" si="48"/>
        <v>0</v>
      </c>
      <c r="O119" s="102">
        <f t="shared" si="48"/>
        <v>0</v>
      </c>
      <c r="P119" s="102">
        <f t="shared" si="48"/>
        <v>0</v>
      </c>
      <c r="Q119" s="102">
        <f t="shared" si="48"/>
        <v>0</v>
      </c>
      <c r="R119" s="102">
        <f t="shared" si="48"/>
        <v>0</v>
      </c>
      <c r="S119" s="102">
        <f t="shared" si="48"/>
        <v>0</v>
      </c>
      <c r="T119" s="102">
        <f t="shared" si="48"/>
        <v>0</v>
      </c>
      <c r="U119" s="102">
        <f t="shared" si="48"/>
        <v>0</v>
      </c>
      <c r="V119" s="102">
        <f t="shared" si="48"/>
        <v>0</v>
      </c>
    </row>
    <row r="120" spans="1:22" s="579" customFormat="1" hidden="1" outlineLevel="1">
      <c r="A120" s="502" t="s">
        <v>625</v>
      </c>
      <c r="B120" s="527"/>
      <c r="E120" s="102">
        <f>IF((E1&gt;=$D$7)*AND(E1&lt;=$D$9),$D$63*$D68,0)</f>
        <v>0</v>
      </c>
      <c r="F120" s="102">
        <f t="shared" ref="F120:V120" si="49">IF((F1&gt;=$D$7)*AND(F1&lt;=$D$9),$D$63*$D68,0)</f>
        <v>0</v>
      </c>
      <c r="G120" s="102">
        <f t="shared" si="49"/>
        <v>0</v>
      </c>
      <c r="H120" s="102">
        <f t="shared" si="49"/>
        <v>0</v>
      </c>
      <c r="I120" s="102">
        <f t="shared" si="49"/>
        <v>0</v>
      </c>
      <c r="J120" s="102">
        <f t="shared" si="49"/>
        <v>0</v>
      </c>
      <c r="K120" s="102">
        <f t="shared" si="49"/>
        <v>0</v>
      </c>
      <c r="L120" s="102">
        <f t="shared" si="49"/>
        <v>0</v>
      </c>
      <c r="M120" s="102">
        <f t="shared" si="49"/>
        <v>0</v>
      </c>
      <c r="N120" s="102">
        <f t="shared" si="49"/>
        <v>0</v>
      </c>
      <c r="O120" s="102">
        <f t="shared" si="49"/>
        <v>0</v>
      </c>
      <c r="P120" s="102">
        <f t="shared" si="49"/>
        <v>0</v>
      </c>
      <c r="Q120" s="102">
        <f t="shared" si="49"/>
        <v>0</v>
      </c>
      <c r="R120" s="102">
        <f t="shared" si="49"/>
        <v>0</v>
      </c>
      <c r="S120" s="102">
        <f t="shared" si="49"/>
        <v>0</v>
      </c>
      <c r="T120" s="102">
        <f t="shared" si="49"/>
        <v>0</v>
      </c>
      <c r="U120" s="102">
        <f t="shared" si="49"/>
        <v>0</v>
      </c>
      <c r="V120" s="102">
        <f t="shared" si="49"/>
        <v>0</v>
      </c>
    </row>
    <row r="121" spans="1:22" hidden="1" outlineLevel="1">
      <c r="A121" s="140" t="s">
        <v>568</v>
      </c>
      <c r="E121" s="102">
        <f>IF((E1&gt;=$D$7)*AND(E1&lt;=$D$9),$D$63*$D69,0)</f>
        <v>0</v>
      </c>
      <c r="F121" s="102">
        <f t="shared" ref="F121:V121" si="50">IF((F1&gt;=$D$7)*AND(F1&lt;=$D$9),$D$63*$D69,0)</f>
        <v>0</v>
      </c>
      <c r="G121" s="102">
        <f t="shared" si="50"/>
        <v>0</v>
      </c>
      <c r="H121" s="102">
        <f t="shared" si="50"/>
        <v>0</v>
      </c>
      <c r="I121" s="102">
        <f t="shared" si="50"/>
        <v>0</v>
      </c>
      <c r="J121" s="102">
        <f t="shared" si="50"/>
        <v>0</v>
      </c>
      <c r="K121" s="102">
        <f t="shared" si="50"/>
        <v>0</v>
      </c>
      <c r="L121" s="102">
        <f t="shared" si="50"/>
        <v>0</v>
      </c>
      <c r="M121" s="102">
        <f t="shared" si="50"/>
        <v>0</v>
      </c>
      <c r="N121" s="102">
        <f t="shared" si="50"/>
        <v>0</v>
      </c>
      <c r="O121" s="102">
        <f t="shared" si="50"/>
        <v>0</v>
      </c>
      <c r="P121" s="102">
        <f t="shared" si="50"/>
        <v>0</v>
      </c>
      <c r="Q121" s="102">
        <f t="shared" si="50"/>
        <v>0</v>
      </c>
      <c r="R121" s="102">
        <f t="shared" si="50"/>
        <v>0</v>
      </c>
      <c r="S121" s="102">
        <f t="shared" si="50"/>
        <v>0</v>
      </c>
      <c r="T121" s="102">
        <f t="shared" si="50"/>
        <v>0</v>
      </c>
      <c r="U121" s="102">
        <f t="shared" si="50"/>
        <v>0</v>
      </c>
      <c r="V121" s="102">
        <f t="shared" si="50"/>
        <v>0</v>
      </c>
    </row>
    <row r="122" spans="1:22" hidden="1" outlineLevel="1">
      <c r="A122" s="140" t="s">
        <v>569</v>
      </c>
      <c r="E122" s="102">
        <f>IF((E1&gt;=$D$7)*AND(E1&lt;=$D$9),$D$63*$D70,0)</f>
        <v>0</v>
      </c>
      <c r="F122" s="102">
        <f t="shared" ref="F122:V122" si="51">IF((F1&gt;=$D$7)*AND(F1&lt;=$D$9),$D$63*$D70,0)</f>
        <v>0</v>
      </c>
      <c r="G122" s="102">
        <f t="shared" si="51"/>
        <v>0</v>
      </c>
      <c r="H122" s="102">
        <f t="shared" si="51"/>
        <v>0</v>
      </c>
      <c r="I122" s="102">
        <f t="shared" si="51"/>
        <v>0</v>
      </c>
      <c r="J122" s="102">
        <f t="shared" si="51"/>
        <v>0</v>
      </c>
      <c r="K122" s="102">
        <f t="shared" si="51"/>
        <v>0</v>
      </c>
      <c r="L122" s="102">
        <f t="shared" si="51"/>
        <v>0</v>
      </c>
      <c r="M122" s="102">
        <f t="shared" si="51"/>
        <v>0</v>
      </c>
      <c r="N122" s="102">
        <f t="shared" si="51"/>
        <v>0</v>
      </c>
      <c r="O122" s="102">
        <f t="shared" si="51"/>
        <v>0</v>
      </c>
      <c r="P122" s="102">
        <f t="shared" si="51"/>
        <v>0</v>
      </c>
      <c r="Q122" s="102">
        <f t="shared" si="51"/>
        <v>0</v>
      </c>
      <c r="R122" s="102">
        <f t="shared" si="51"/>
        <v>0</v>
      </c>
      <c r="S122" s="102">
        <f t="shared" si="51"/>
        <v>0</v>
      </c>
      <c r="T122" s="102">
        <f t="shared" si="51"/>
        <v>0</v>
      </c>
      <c r="U122" s="102">
        <f t="shared" si="51"/>
        <v>0</v>
      </c>
      <c r="V122" s="102">
        <f t="shared" si="51"/>
        <v>0</v>
      </c>
    </row>
    <row r="123" spans="1:22" hidden="1" outlineLevel="1">
      <c r="A123" s="140" t="s">
        <v>570</v>
      </c>
      <c r="E123" s="102">
        <f>IF((E1&gt;=$D$7)*AND(E1&lt;=$D$9),$D$63*$D71,0)</f>
        <v>0</v>
      </c>
      <c r="F123" s="102">
        <f t="shared" ref="F123:V123" si="52">IF((F1&gt;=$D$7)*AND(F1&lt;=$D$9),$D$63*$D71,0)</f>
        <v>0</v>
      </c>
      <c r="G123" s="102">
        <f t="shared" si="52"/>
        <v>0</v>
      </c>
      <c r="H123" s="102">
        <f t="shared" si="52"/>
        <v>0</v>
      </c>
      <c r="I123" s="102">
        <f t="shared" si="52"/>
        <v>0</v>
      </c>
      <c r="J123" s="102">
        <f t="shared" si="52"/>
        <v>0</v>
      </c>
      <c r="K123" s="102">
        <f t="shared" si="52"/>
        <v>0</v>
      </c>
      <c r="L123" s="102">
        <f t="shared" si="52"/>
        <v>0</v>
      </c>
      <c r="M123" s="102">
        <f t="shared" si="52"/>
        <v>0</v>
      </c>
      <c r="N123" s="102">
        <f t="shared" si="52"/>
        <v>0</v>
      </c>
      <c r="O123" s="102">
        <f t="shared" si="52"/>
        <v>0</v>
      </c>
      <c r="P123" s="102">
        <f t="shared" si="52"/>
        <v>0</v>
      </c>
      <c r="Q123" s="102">
        <f t="shared" si="52"/>
        <v>0</v>
      </c>
      <c r="R123" s="102">
        <f t="shared" si="52"/>
        <v>0</v>
      </c>
      <c r="S123" s="102">
        <f t="shared" si="52"/>
        <v>0</v>
      </c>
      <c r="T123" s="102">
        <f t="shared" si="52"/>
        <v>0</v>
      </c>
      <c r="U123" s="102">
        <f t="shared" si="52"/>
        <v>0</v>
      </c>
      <c r="V123" s="102">
        <f t="shared" si="52"/>
        <v>0</v>
      </c>
    </row>
    <row r="124" spans="1:22" s="579" customFormat="1" hidden="1" outlineLevel="1">
      <c r="A124" s="140" t="s">
        <v>611</v>
      </c>
      <c r="B124" s="527"/>
      <c r="E124" s="102">
        <f>IF((E1&gt;=$D$7)*AND(E1&lt;=$D$9),$D$63*$D72,0)</f>
        <v>0</v>
      </c>
      <c r="F124" s="102">
        <f t="shared" ref="F124:V124" si="53">IF((F1&gt;=$D$7)*AND(F1&lt;=$D$9),$D$63*$D72,0)</f>
        <v>0</v>
      </c>
      <c r="G124" s="102">
        <f t="shared" si="53"/>
        <v>0</v>
      </c>
      <c r="H124" s="102">
        <f t="shared" si="53"/>
        <v>0</v>
      </c>
      <c r="I124" s="102">
        <f t="shared" si="53"/>
        <v>0</v>
      </c>
      <c r="J124" s="102">
        <f t="shared" si="53"/>
        <v>0</v>
      </c>
      <c r="K124" s="102">
        <f t="shared" si="53"/>
        <v>0</v>
      </c>
      <c r="L124" s="102">
        <f t="shared" si="53"/>
        <v>0</v>
      </c>
      <c r="M124" s="102">
        <f t="shared" si="53"/>
        <v>0</v>
      </c>
      <c r="N124" s="102">
        <f t="shared" si="53"/>
        <v>0</v>
      </c>
      <c r="O124" s="102">
        <f t="shared" si="53"/>
        <v>0</v>
      </c>
      <c r="P124" s="102">
        <f t="shared" si="53"/>
        <v>0</v>
      </c>
      <c r="Q124" s="102">
        <f t="shared" si="53"/>
        <v>0</v>
      </c>
      <c r="R124" s="102">
        <f t="shared" si="53"/>
        <v>0</v>
      </c>
      <c r="S124" s="102">
        <f t="shared" si="53"/>
        <v>0</v>
      </c>
      <c r="T124" s="102">
        <f t="shared" si="53"/>
        <v>0</v>
      </c>
      <c r="U124" s="102">
        <f t="shared" si="53"/>
        <v>0</v>
      </c>
      <c r="V124" s="102">
        <f t="shared" si="53"/>
        <v>0</v>
      </c>
    </row>
    <row r="125" spans="1:22" s="579" customFormat="1" hidden="1" outlineLevel="1">
      <c r="A125" s="140" t="s">
        <v>612</v>
      </c>
      <c r="B125" s="527"/>
      <c r="E125" s="102">
        <f>IF((E1&gt;=$D$7)*AND(E1&lt;=$D$9),$D$63*$D73,0)</f>
        <v>0</v>
      </c>
      <c r="F125" s="102">
        <f t="shared" ref="F125:V125" si="54">IF((F1&gt;=$D$7)*AND(F1&lt;=$D$9),$D$63*$D73,0)</f>
        <v>0</v>
      </c>
      <c r="G125" s="102">
        <f t="shared" si="54"/>
        <v>0</v>
      </c>
      <c r="H125" s="102">
        <f t="shared" si="54"/>
        <v>0</v>
      </c>
      <c r="I125" s="102">
        <f t="shared" si="54"/>
        <v>0</v>
      </c>
      <c r="J125" s="102">
        <f t="shared" si="54"/>
        <v>0</v>
      </c>
      <c r="K125" s="102">
        <f t="shared" si="54"/>
        <v>0</v>
      </c>
      <c r="L125" s="102">
        <f t="shared" si="54"/>
        <v>0</v>
      </c>
      <c r="M125" s="102">
        <f t="shared" si="54"/>
        <v>0</v>
      </c>
      <c r="N125" s="102">
        <f t="shared" si="54"/>
        <v>0</v>
      </c>
      <c r="O125" s="102">
        <f t="shared" si="54"/>
        <v>0</v>
      </c>
      <c r="P125" s="102">
        <f t="shared" si="54"/>
        <v>0</v>
      </c>
      <c r="Q125" s="102">
        <f t="shared" si="54"/>
        <v>0</v>
      </c>
      <c r="R125" s="102">
        <f t="shared" si="54"/>
        <v>0</v>
      </c>
      <c r="S125" s="102">
        <f t="shared" si="54"/>
        <v>0</v>
      </c>
      <c r="T125" s="102">
        <f t="shared" si="54"/>
        <v>0</v>
      </c>
      <c r="U125" s="102">
        <f t="shared" si="54"/>
        <v>0</v>
      </c>
      <c r="V125" s="102">
        <f t="shared" si="54"/>
        <v>0</v>
      </c>
    </row>
    <row r="126" spans="1:22" s="579" customFormat="1" hidden="1" outlineLevel="1">
      <c r="A126" s="140" t="s">
        <v>613</v>
      </c>
      <c r="B126" s="527"/>
      <c r="E126" s="102">
        <f>IF((E1&gt;=$D$7)*AND(E1&lt;=$D$9),$D$63*$D74,0)</f>
        <v>0</v>
      </c>
      <c r="F126" s="102">
        <f t="shared" ref="F126:V126" si="55">IF((F1&gt;=$D$7)*AND(F1&lt;=$D$9),$D$63*$D74,0)</f>
        <v>0</v>
      </c>
      <c r="G126" s="102">
        <f t="shared" si="55"/>
        <v>0</v>
      </c>
      <c r="H126" s="102">
        <f t="shared" si="55"/>
        <v>0</v>
      </c>
      <c r="I126" s="102">
        <f t="shared" si="55"/>
        <v>0</v>
      </c>
      <c r="J126" s="102">
        <f t="shared" si="55"/>
        <v>0</v>
      </c>
      <c r="K126" s="102">
        <f t="shared" si="55"/>
        <v>0</v>
      </c>
      <c r="L126" s="102">
        <f t="shared" si="55"/>
        <v>0</v>
      </c>
      <c r="M126" s="102">
        <f t="shared" si="55"/>
        <v>0</v>
      </c>
      <c r="N126" s="102">
        <f t="shared" si="55"/>
        <v>0</v>
      </c>
      <c r="O126" s="102">
        <f t="shared" si="55"/>
        <v>0</v>
      </c>
      <c r="P126" s="102">
        <f t="shared" si="55"/>
        <v>0</v>
      </c>
      <c r="Q126" s="102">
        <f t="shared" si="55"/>
        <v>0</v>
      </c>
      <c r="R126" s="102">
        <f t="shared" si="55"/>
        <v>0</v>
      </c>
      <c r="S126" s="102">
        <f t="shared" si="55"/>
        <v>0</v>
      </c>
      <c r="T126" s="102">
        <f t="shared" si="55"/>
        <v>0</v>
      </c>
      <c r="U126" s="102">
        <f t="shared" si="55"/>
        <v>0</v>
      </c>
      <c r="V126" s="102">
        <f t="shared" si="55"/>
        <v>0</v>
      </c>
    </row>
    <row r="127" spans="1:22" hidden="1" outlineLevel="1">
      <c r="A127" s="140" t="s">
        <v>574</v>
      </c>
      <c r="E127" s="102">
        <f>IF((E1&gt;=$D$7)*AND(E1&lt;=$D$9),$D$63*$D75,0)</f>
        <v>0</v>
      </c>
      <c r="F127" s="102">
        <f t="shared" ref="F127:V127" si="56">IF((F1&gt;=$D$7)*AND(F1&lt;=$D$9),$D$63*$D75,0)</f>
        <v>0</v>
      </c>
      <c r="G127" s="102">
        <f t="shared" si="56"/>
        <v>0</v>
      </c>
      <c r="H127" s="102">
        <f t="shared" si="56"/>
        <v>0</v>
      </c>
      <c r="I127" s="102">
        <f t="shared" si="56"/>
        <v>0</v>
      </c>
      <c r="J127" s="102">
        <f t="shared" si="56"/>
        <v>0</v>
      </c>
      <c r="K127" s="102">
        <f t="shared" si="56"/>
        <v>0</v>
      </c>
      <c r="L127" s="102">
        <f t="shared" si="56"/>
        <v>0</v>
      </c>
      <c r="M127" s="102">
        <f t="shared" si="56"/>
        <v>0</v>
      </c>
      <c r="N127" s="102">
        <f t="shared" si="56"/>
        <v>0</v>
      </c>
      <c r="O127" s="102">
        <f t="shared" si="56"/>
        <v>0</v>
      </c>
      <c r="P127" s="102">
        <f t="shared" si="56"/>
        <v>0</v>
      </c>
      <c r="Q127" s="102">
        <f t="shared" si="56"/>
        <v>0</v>
      </c>
      <c r="R127" s="102">
        <f t="shared" si="56"/>
        <v>0</v>
      </c>
      <c r="S127" s="102">
        <f t="shared" si="56"/>
        <v>0</v>
      </c>
      <c r="T127" s="102">
        <f t="shared" si="56"/>
        <v>0</v>
      </c>
      <c r="U127" s="102">
        <f t="shared" si="56"/>
        <v>0</v>
      </c>
      <c r="V127" s="102">
        <f t="shared" si="56"/>
        <v>0</v>
      </c>
    </row>
    <row r="128" spans="1:22" hidden="1" outlineLevel="1">
      <c r="A128" s="140" t="s">
        <v>575</v>
      </c>
      <c r="E128" s="102">
        <f>IF((E1&gt;=$D$7)*AND(E1&lt;=$D$9),$D$63*$D76,0)</f>
        <v>0</v>
      </c>
      <c r="F128" s="102">
        <f t="shared" ref="F128:V128" si="57">IF((F1&gt;=$D$7)*AND(F1&lt;=$D$9),$D$63*$D76,0)</f>
        <v>0</v>
      </c>
      <c r="G128" s="102">
        <f t="shared" si="57"/>
        <v>0</v>
      </c>
      <c r="H128" s="102">
        <f t="shared" si="57"/>
        <v>0</v>
      </c>
      <c r="I128" s="102">
        <f t="shared" si="57"/>
        <v>0</v>
      </c>
      <c r="J128" s="102">
        <f t="shared" si="57"/>
        <v>0</v>
      </c>
      <c r="K128" s="102">
        <f t="shared" si="57"/>
        <v>0</v>
      </c>
      <c r="L128" s="102">
        <f t="shared" si="57"/>
        <v>0</v>
      </c>
      <c r="M128" s="102">
        <f t="shared" si="57"/>
        <v>0</v>
      </c>
      <c r="N128" s="102">
        <f t="shared" si="57"/>
        <v>0</v>
      </c>
      <c r="O128" s="102">
        <f t="shared" si="57"/>
        <v>0</v>
      </c>
      <c r="P128" s="102">
        <f t="shared" si="57"/>
        <v>0</v>
      </c>
      <c r="Q128" s="102">
        <f t="shared" si="57"/>
        <v>0</v>
      </c>
      <c r="R128" s="102">
        <f t="shared" si="57"/>
        <v>0</v>
      </c>
      <c r="S128" s="102">
        <f t="shared" si="57"/>
        <v>0</v>
      </c>
      <c r="T128" s="102">
        <f t="shared" si="57"/>
        <v>0</v>
      </c>
      <c r="U128" s="102">
        <f t="shared" si="57"/>
        <v>0</v>
      </c>
      <c r="V128" s="102">
        <f t="shared" si="57"/>
        <v>0</v>
      </c>
    </row>
    <row r="129" spans="1:22" hidden="1" outlineLevel="1">
      <c r="A129" s="140" t="s">
        <v>576</v>
      </c>
      <c r="E129" s="102">
        <f>IF((E1&gt;=$D$7)*AND(E1&lt;=$D$9),$D$63*$D77,0)</f>
        <v>0</v>
      </c>
      <c r="F129" s="102">
        <f t="shared" ref="F129:V129" si="58">IF((F1&gt;=$D$7)*AND(F1&lt;=$D$9),$D$63*$D77,0)</f>
        <v>0</v>
      </c>
      <c r="G129" s="102">
        <f t="shared" si="58"/>
        <v>0</v>
      </c>
      <c r="H129" s="102">
        <f t="shared" si="58"/>
        <v>0</v>
      </c>
      <c r="I129" s="102">
        <f t="shared" si="58"/>
        <v>0</v>
      </c>
      <c r="J129" s="102">
        <f t="shared" si="58"/>
        <v>0</v>
      </c>
      <c r="K129" s="102">
        <f t="shared" si="58"/>
        <v>0</v>
      </c>
      <c r="L129" s="102">
        <f t="shared" si="58"/>
        <v>0</v>
      </c>
      <c r="M129" s="102">
        <f t="shared" si="58"/>
        <v>0</v>
      </c>
      <c r="N129" s="102">
        <f t="shared" si="58"/>
        <v>0</v>
      </c>
      <c r="O129" s="102">
        <f t="shared" si="58"/>
        <v>0</v>
      </c>
      <c r="P129" s="102">
        <f t="shared" si="58"/>
        <v>0</v>
      </c>
      <c r="Q129" s="102">
        <f t="shared" si="58"/>
        <v>0</v>
      </c>
      <c r="R129" s="102">
        <f t="shared" si="58"/>
        <v>0</v>
      </c>
      <c r="S129" s="102">
        <f t="shared" si="58"/>
        <v>0</v>
      </c>
      <c r="T129" s="102">
        <f t="shared" si="58"/>
        <v>0</v>
      </c>
      <c r="U129" s="102">
        <f t="shared" si="58"/>
        <v>0</v>
      </c>
      <c r="V129" s="102">
        <f t="shared" si="58"/>
        <v>0</v>
      </c>
    </row>
    <row r="130" spans="1:22" hidden="1" outlineLevel="1">
      <c r="A130" s="140" t="s">
        <v>620</v>
      </c>
      <c r="E130" s="102">
        <f>IF((E1&gt;=$D$7)*AND(E1&lt;=$D$9),$D$63*$D78,0)</f>
        <v>120000</v>
      </c>
      <c r="F130" s="102">
        <f t="shared" ref="F130:V130" si="59">IF((F1&gt;=$D$7)*AND(F1&lt;=$D$9),$D$63*$D78,0)</f>
        <v>120000</v>
      </c>
      <c r="G130" s="102">
        <f t="shared" si="59"/>
        <v>120000</v>
      </c>
      <c r="H130" s="102">
        <f t="shared" si="59"/>
        <v>120000</v>
      </c>
      <c r="I130" s="102">
        <f t="shared" si="59"/>
        <v>120000</v>
      </c>
      <c r="J130" s="102">
        <f t="shared" si="59"/>
        <v>120000</v>
      </c>
      <c r="K130" s="102">
        <f t="shared" si="59"/>
        <v>120000</v>
      </c>
      <c r="L130" s="102">
        <f t="shared" si="59"/>
        <v>120000</v>
      </c>
      <c r="M130" s="102">
        <f t="shared" si="59"/>
        <v>120000</v>
      </c>
      <c r="N130" s="102">
        <f t="shared" si="59"/>
        <v>120000</v>
      </c>
      <c r="O130" s="102">
        <f t="shared" si="59"/>
        <v>120000</v>
      </c>
      <c r="P130" s="102">
        <f t="shared" si="59"/>
        <v>120000</v>
      </c>
      <c r="Q130" s="102">
        <f t="shared" si="59"/>
        <v>120000</v>
      </c>
      <c r="R130" s="102">
        <f t="shared" si="59"/>
        <v>120000</v>
      </c>
      <c r="S130" s="102">
        <f t="shared" si="59"/>
        <v>120000</v>
      </c>
      <c r="T130" s="102">
        <f t="shared" si="59"/>
        <v>0</v>
      </c>
      <c r="U130" s="102">
        <f t="shared" si="59"/>
        <v>0</v>
      </c>
      <c r="V130" s="102">
        <f t="shared" si="59"/>
        <v>0</v>
      </c>
    </row>
    <row r="131" spans="1:22" hidden="1" outlineLevel="1">
      <c r="A131" s="140" t="s">
        <v>621</v>
      </c>
      <c r="E131" s="102">
        <f>IF((E1&gt;=$D$7)*AND(E1&lt;=$D$9),$D$63*$D79,0)</f>
        <v>80000</v>
      </c>
      <c r="F131" s="102">
        <f t="shared" ref="F131:V131" si="60">IF((F1&gt;=$D$7)*AND(F1&lt;=$D$9),$D$63*$D79,0)</f>
        <v>80000</v>
      </c>
      <c r="G131" s="102">
        <f t="shared" si="60"/>
        <v>80000</v>
      </c>
      <c r="H131" s="102">
        <f t="shared" si="60"/>
        <v>80000</v>
      </c>
      <c r="I131" s="102">
        <f t="shared" si="60"/>
        <v>80000</v>
      </c>
      <c r="J131" s="102">
        <f t="shared" si="60"/>
        <v>80000</v>
      </c>
      <c r="K131" s="102">
        <f t="shared" si="60"/>
        <v>80000</v>
      </c>
      <c r="L131" s="102">
        <f t="shared" si="60"/>
        <v>80000</v>
      </c>
      <c r="M131" s="102">
        <f t="shared" si="60"/>
        <v>80000</v>
      </c>
      <c r="N131" s="102">
        <f t="shared" si="60"/>
        <v>80000</v>
      </c>
      <c r="O131" s="102">
        <f t="shared" si="60"/>
        <v>80000</v>
      </c>
      <c r="P131" s="102">
        <f t="shared" si="60"/>
        <v>80000</v>
      </c>
      <c r="Q131" s="102">
        <f t="shared" si="60"/>
        <v>80000</v>
      </c>
      <c r="R131" s="102">
        <f t="shared" si="60"/>
        <v>80000</v>
      </c>
      <c r="S131" s="102">
        <f t="shared" si="60"/>
        <v>80000</v>
      </c>
      <c r="T131" s="102">
        <f t="shared" si="60"/>
        <v>0</v>
      </c>
      <c r="U131" s="102">
        <f t="shared" si="60"/>
        <v>0</v>
      </c>
      <c r="V131" s="102">
        <f t="shared" si="60"/>
        <v>0</v>
      </c>
    </row>
    <row r="132" spans="1:22" hidden="1" outlineLevel="1">
      <c r="A132" s="140" t="s">
        <v>622</v>
      </c>
      <c r="E132" s="102">
        <f>IF((E1&gt;=$D$7)*AND(E1&lt;=$D$9),$D$63*$D80,0)</f>
        <v>0</v>
      </c>
      <c r="F132" s="102">
        <f t="shared" ref="F132:V132" si="61">IF((F1&gt;=$D$7)*AND(F1&lt;=$D$9),$D$63*$D80,0)</f>
        <v>0</v>
      </c>
      <c r="G132" s="102">
        <f t="shared" si="61"/>
        <v>0</v>
      </c>
      <c r="H132" s="102">
        <f t="shared" si="61"/>
        <v>0</v>
      </c>
      <c r="I132" s="102">
        <f t="shared" si="61"/>
        <v>0</v>
      </c>
      <c r="J132" s="102">
        <f t="shared" si="61"/>
        <v>0</v>
      </c>
      <c r="K132" s="102">
        <f t="shared" si="61"/>
        <v>0</v>
      </c>
      <c r="L132" s="102">
        <f t="shared" si="61"/>
        <v>0</v>
      </c>
      <c r="M132" s="102">
        <f t="shared" si="61"/>
        <v>0</v>
      </c>
      <c r="N132" s="102">
        <f t="shared" si="61"/>
        <v>0</v>
      </c>
      <c r="O132" s="102">
        <f t="shared" si="61"/>
        <v>0</v>
      </c>
      <c r="P132" s="102">
        <f t="shared" si="61"/>
        <v>0</v>
      </c>
      <c r="Q132" s="102">
        <f t="shared" si="61"/>
        <v>0</v>
      </c>
      <c r="R132" s="102">
        <f t="shared" si="61"/>
        <v>0</v>
      </c>
      <c r="S132" s="102">
        <f t="shared" si="61"/>
        <v>0</v>
      </c>
      <c r="T132" s="102">
        <f t="shared" si="61"/>
        <v>0</v>
      </c>
      <c r="U132" s="102">
        <f t="shared" si="61"/>
        <v>0</v>
      </c>
      <c r="V132" s="102">
        <f t="shared" si="61"/>
        <v>0</v>
      </c>
    </row>
    <row r="133" spans="1:22" collapsed="1"/>
    <row r="134" spans="1:22" hidden="1">
      <c r="C134" t="str">
        <f>Wstęp!$A$14</f>
        <v>TAK</v>
      </c>
      <c r="E134" t="s">
        <v>678</v>
      </c>
    </row>
    <row r="135" spans="1:22" hidden="1">
      <c r="C135" t="str">
        <f>Wstęp!$A$15</f>
        <v>NIE</v>
      </c>
      <c r="E135" t="s">
        <v>679</v>
      </c>
    </row>
    <row r="136" spans="1:22" hidden="1"/>
    <row r="137" spans="1:22" hidden="1"/>
    <row r="138" spans="1:22" hidden="1"/>
    <row r="139" spans="1:22" hidden="1"/>
    <row r="140" spans="1:22" hidden="1"/>
  </sheetData>
  <mergeCells count="15">
    <mergeCell ref="F74:I77"/>
    <mergeCell ref="D3:H3"/>
    <mergeCell ref="H14:N16"/>
    <mergeCell ref="H18:N20"/>
    <mergeCell ref="H22:N23"/>
    <mergeCell ref="H25:N26"/>
    <mergeCell ref="H65:N65"/>
    <mergeCell ref="H67:N68"/>
    <mergeCell ref="H70:N71"/>
    <mergeCell ref="H28:N29"/>
    <mergeCell ref="H30:N30"/>
    <mergeCell ref="H52:N54"/>
    <mergeCell ref="H56:N58"/>
    <mergeCell ref="H60:N63"/>
    <mergeCell ref="F38:I41"/>
  </mergeCells>
  <hyperlinks>
    <hyperlink ref="D17" location="'Emisje WI trasa istniejąca'!A27" display="Typ A DieVI"/>
    <hyperlink ref="E14" location="'Emisje W0 trasa istniejąca'!A46" display="Typ 2"/>
    <hyperlink ref="F14" location="'Emisje W0 trasa istniejąca'!A65" display="Typ 3"/>
    <hyperlink ref="E17" location="'Emisje WI trasa istniejąca'!A46" display="Typ B DieVI"/>
    <hyperlink ref="F17" location="'Emisje WI trasa istniejąca'!A65" display="Typ C DieVI"/>
    <hyperlink ref="D19" location="'Emisje WI trasa istniejąca'!A84" display="Typ A CNG"/>
    <hyperlink ref="E19" location="'Emisje WI trasa istniejąca'!A104" display="Typ B CNG"/>
    <hyperlink ref="F19" location="'Emisje WI trasa istniejąca'!A124" display="Typ C CNG"/>
    <hyperlink ref="D21" location="'Emisje WI trasa istniejąca'!A144" display="Typ A LPG/LNG"/>
    <hyperlink ref="E21" location="'Emisje WI trasa istniejąca'!A162" display="Typ B LPG/LNG"/>
    <hyperlink ref="F21" location="'Emisje WI trasa istniejąca'!A180" display="Typ C LPG/LNG"/>
    <hyperlink ref="D23" location="'Emisje WI trasa istniejąca'!A198" display="Typ A elektr"/>
    <hyperlink ref="E23" location="'Emisje WI trasa istniejąca'!A213" display="Typ B elektr"/>
    <hyperlink ref="F23" location="'Emisje WI trasa istniejąca'!A228" display="Typ C elektr"/>
    <hyperlink ref="D25" location="'Emisje WI trasa istniejąca'!A243" display="Typ A hybryda"/>
    <hyperlink ref="E25" location="'Emisje WI trasa istniejąca'!A278" display="Typ B hybryda"/>
    <hyperlink ref="F25" location="'Emisje WI trasa istniejąca'!A313" display="Typ C hybryda"/>
    <hyperlink ref="D52" location="'Emisje WI trasa nowa'!A27" display="Typ A DieVI"/>
    <hyperlink ref="E52" location="'Emisje WI trasa nowa'!A46" display="Typ B DieVI"/>
    <hyperlink ref="F52" location="'Emisje WI trasa nowa'!A65" display="Typ C DieVI"/>
    <hyperlink ref="D54" location="'Emisje WI trasa nowa'!A84" display="Typ A CNG"/>
    <hyperlink ref="E54" location="'Emisje WI trasa nowa'!A104" display="Typ B CNG"/>
    <hyperlink ref="F54" location="'Emisje WI trasa nowa'!A124" display="Typ C CNG"/>
    <hyperlink ref="D56" location="'Emisje WI trasa nowa'!A144" display="Typ A LPG/LNG"/>
    <hyperlink ref="E56" location="'Emisje WI trasa nowa'!A162" display="Typ B LPG/LNG"/>
    <hyperlink ref="F56" location="'Emisje WI trasa nowa'!A180" display="Typ C LPG/LNG"/>
    <hyperlink ref="D58" location="'Emisje WI trasa nowa'!A198" display="Typ A elektr"/>
    <hyperlink ref="E58" location="'Emisje WI trasa nowa'!A213" display="Typ B elektr"/>
    <hyperlink ref="F58" location="'Emisje WI trasa nowa'!A228" display="Typ C elektr"/>
    <hyperlink ref="D60" location="'Emisje WI trasa nowa'!A243" display="Typ A hybryda"/>
    <hyperlink ref="E60" location="'Emisje WI trasa nowa'!A278" display="Typ B hybryda"/>
    <hyperlink ref="F60" location="'Emisje WI trasa nowa'!A313" display="Typ C hybryda"/>
    <hyperlink ref="D14" location="'Emisje W0 trasa istniejąca'!A27" display="Typ 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Wstęp!$A$14:$A$15</xm:f>
          </x14:formula1>
          <xm:sqref>D15:F15 D18:F18 D20:F20 D22:F22 D26:F26 D24:F24 D53:F53 D55:F55 D57:F57 D59:F59 D61:F61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146"/>
  <sheetViews>
    <sheetView workbookViewId="0">
      <pane ySplit="1" topLeftCell="A2" activePane="bottomLeft" state="frozen"/>
      <selection pane="bottomLeft" activeCell="A2" sqref="A2"/>
    </sheetView>
  </sheetViews>
  <sheetFormatPr defaultColWidth="0" defaultRowHeight="15" zeroHeight="1" outlineLevelRow="1"/>
  <cols>
    <col min="1" max="1" width="29" style="421" customWidth="1"/>
    <col min="2" max="2" width="15.7109375" style="421" bestFit="1" customWidth="1"/>
    <col min="3" max="5" width="15" style="421" customWidth="1"/>
    <col min="6" max="6" width="18.85546875" style="421" customWidth="1"/>
    <col min="7" max="8" width="15" style="421" customWidth="1"/>
    <col min="9" max="9" width="59.7109375" style="421" bestFit="1" customWidth="1"/>
    <col min="10" max="10" width="18.140625" style="421" customWidth="1"/>
    <col min="11" max="11" width="10" style="421" bestFit="1" customWidth="1"/>
    <col min="12" max="59" width="9.140625" style="421" customWidth="1"/>
    <col min="60" max="16384" width="9.140625" style="421" hidden="1"/>
  </cols>
  <sheetData>
    <row r="1" spans="1:21" ht="24">
      <c r="A1" s="4" t="s">
        <v>654</v>
      </c>
      <c r="B1" s="5"/>
      <c r="C1" s="103"/>
      <c r="D1" s="103"/>
      <c r="E1" s="103"/>
      <c r="F1" s="103"/>
      <c r="G1" s="103"/>
      <c r="H1" s="103"/>
      <c r="I1" s="103"/>
      <c r="J1" s="103"/>
      <c r="K1"/>
      <c r="L1"/>
      <c r="M1"/>
      <c r="N1"/>
      <c r="O1"/>
      <c r="P1"/>
      <c r="Q1"/>
      <c r="R1"/>
      <c r="S1"/>
      <c r="T1"/>
      <c r="U1"/>
    </row>
    <row r="2" spans="1:21"/>
    <row r="3" spans="1:21" s="445" customFormat="1"/>
    <row r="4" spans="1:21" s="445" customFormat="1"/>
    <row r="5" spans="1:21" s="445" customFormat="1"/>
    <row r="6" spans="1:21" s="445" customFormat="1"/>
    <row r="7" spans="1:21" s="445" customFormat="1"/>
    <row r="8" spans="1:21" s="445" customFormat="1"/>
    <row r="9" spans="1:21" s="445" customFormat="1"/>
    <row r="10" spans="1:21" ht="18">
      <c r="A10" s="131" t="s">
        <v>230</v>
      </c>
      <c r="B10" s="131" t="s">
        <v>267</v>
      </c>
      <c r="C10" s="131" t="s">
        <v>231</v>
      </c>
      <c r="D10" s="131"/>
      <c r="E10" s="131"/>
      <c r="F10" s="131" t="s">
        <v>232</v>
      </c>
      <c r="G10" s="131" t="s">
        <v>283</v>
      </c>
      <c r="H10" s="131" t="s">
        <v>233</v>
      </c>
      <c r="I10" s="131" t="s">
        <v>234</v>
      </c>
      <c r="J10" s="131" t="s">
        <v>235</v>
      </c>
    </row>
    <row r="11" spans="1:21">
      <c r="A11" s="421" t="s">
        <v>236</v>
      </c>
      <c r="B11" s="421" t="s">
        <v>237</v>
      </c>
      <c r="C11" s="421" t="s">
        <v>238</v>
      </c>
      <c r="F11" s="133">
        <v>1.1000000000000001</v>
      </c>
      <c r="G11" s="134">
        <v>8</v>
      </c>
      <c r="H11" s="133">
        <v>0.36</v>
      </c>
      <c r="I11" s="421" t="s">
        <v>518</v>
      </c>
      <c r="J11" s="421" t="s">
        <v>523</v>
      </c>
    </row>
    <row r="12" spans="1:21">
      <c r="A12" s="421" t="s">
        <v>239</v>
      </c>
      <c r="B12" s="421" t="s">
        <v>240</v>
      </c>
      <c r="C12" s="421" t="s">
        <v>238</v>
      </c>
      <c r="F12" s="133">
        <v>1.1000000000000001</v>
      </c>
      <c r="G12" s="134">
        <v>7</v>
      </c>
      <c r="H12" s="133">
        <v>0.15</v>
      </c>
      <c r="I12" s="421" t="s">
        <v>518</v>
      </c>
      <c r="J12" s="421" t="s">
        <v>523</v>
      </c>
    </row>
    <row r="13" spans="1:21">
      <c r="A13" s="421" t="s">
        <v>241</v>
      </c>
      <c r="B13" s="421" t="s">
        <v>242</v>
      </c>
      <c r="C13" s="421" t="s">
        <v>238</v>
      </c>
      <c r="F13" s="133">
        <v>0.66</v>
      </c>
      <c r="G13" s="134">
        <v>5</v>
      </c>
      <c r="H13" s="133">
        <v>0.1</v>
      </c>
      <c r="I13" s="421" t="s">
        <v>519</v>
      </c>
      <c r="J13" s="424" t="s">
        <v>524</v>
      </c>
    </row>
    <row r="14" spans="1:21">
      <c r="A14" s="421" t="s">
        <v>243</v>
      </c>
      <c r="B14" s="421" t="s">
        <v>244</v>
      </c>
      <c r="C14" s="421" t="s">
        <v>238</v>
      </c>
      <c r="F14" s="133">
        <v>0.46</v>
      </c>
      <c r="G14" s="134">
        <v>3.5</v>
      </c>
      <c r="H14" s="133">
        <v>0.02</v>
      </c>
      <c r="I14" s="421" t="s">
        <v>520</v>
      </c>
      <c r="J14" s="424" t="s">
        <v>525</v>
      </c>
    </row>
    <row r="15" spans="1:21">
      <c r="A15" s="421" t="s">
        <v>245</v>
      </c>
      <c r="B15" s="421" t="s">
        <v>246</v>
      </c>
      <c r="C15" s="421" t="s">
        <v>238</v>
      </c>
      <c r="F15" s="133">
        <v>0.46</v>
      </c>
      <c r="G15" s="134">
        <v>2</v>
      </c>
      <c r="H15" s="133">
        <v>0.02</v>
      </c>
      <c r="I15" s="421" t="s">
        <v>521</v>
      </c>
      <c r="J15" s="424" t="s">
        <v>526</v>
      </c>
    </row>
    <row r="16" spans="1:21">
      <c r="A16" s="149" t="s">
        <v>247</v>
      </c>
      <c r="B16" s="149" t="s">
        <v>248</v>
      </c>
      <c r="C16" s="149" t="s">
        <v>238</v>
      </c>
      <c r="D16" s="149"/>
      <c r="E16" s="149"/>
      <c r="F16" s="150">
        <v>0.13</v>
      </c>
      <c r="G16" s="152">
        <v>0.4</v>
      </c>
      <c r="H16" s="150">
        <v>0.01</v>
      </c>
      <c r="I16" s="149" t="s">
        <v>522</v>
      </c>
      <c r="J16" s="434" t="s">
        <v>527</v>
      </c>
    </row>
    <row r="17" spans="1:17">
      <c r="A17" s="149" t="s">
        <v>249</v>
      </c>
      <c r="B17" s="149"/>
      <c r="C17" s="149" t="s">
        <v>238</v>
      </c>
      <c r="D17" s="149"/>
      <c r="E17" s="149"/>
      <c r="F17" s="435">
        <v>0.13</v>
      </c>
      <c r="G17" s="436">
        <v>0.4</v>
      </c>
      <c r="H17" s="435">
        <v>0.01</v>
      </c>
      <c r="I17" s="149"/>
      <c r="J17" s="149"/>
    </row>
    <row r="18" spans="1:17"/>
    <row r="19" spans="1:17" ht="18">
      <c r="D19" s="131" t="s">
        <v>281</v>
      </c>
      <c r="E19" s="131" t="s">
        <v>282</v>
      </c>
      <c r="F19" s="131" t="str">
        <f>F10</f>
        <v>NMHC/NMVOC</v>
      </c>
      <c r="G19" s="131" t="str">
        <f t="shared" ref="G19:H19" si="0">G10</f>
        <v>NOx</v>
      </c>
      <c r="H19" s="131" t="str">
        <f t="shared" si="0"/>
        <v>PM</v>
      </c>
    </row>
    <row r="20" spans="1:17">
      <c r="A20" s="178" t="s">
        <v>80</v>
      </c>
      <c r="B20" s="178" t="s">
        <v>269</v>
      </c>
      <c r="C20" s="178" t="s">
        <v>238</v>
      </c>
      <c r="D20" s="581">
        <f>719*(1+'Zmiany klimatu (GHG) samochody'!V180)</f>
        <v>662.90204904313487</v>
      </c>
      <c r="E20" s="444">
        <v>0.51100000000000001</v>
      </c>
      <c r="F20" s="444">
        <f>1.4*($B$24*$B$25)/($B$23*1000)</f>
        <v>5.0400000000000002E-3</v>
      </c>
      <c r="G20" s="444">
        <v>0.57599999999999996</v>
      </c>
      <c r="H20" s="444">
        <v>2.9000000000000001E-2</v>
      </c>
      <c r="I20" s="178" t="s">
        <v>528</v>
      </c>
    </row>
    <row r="21" spans="1:17" hidden="1" outlineLevel="1"/>
    <row r="22" spans="1:17" hidden="1" outlineLevel="1">
      <c r="A22" s="421" t="s">
        <v>48</v>
      </c>
      <c r="B22" s="147">
        <f>B23/(B24*B25)</f>
        <v>0.27777777777777779</v>
      </c>
    </row>
    <row r="23" spans="1:17" hidden="1" outlineLevel="1">
      <c r="B23" s="102">
        <f>10^6</f>
        <v>1000000</v>
      </c>
      <c r="C23" s="421" t="s">
        <v>51</v>
      </c>
    </row>
    <row r="24" spans="1:17" hidden="1" outlineLevel="1">
      <c r="B24" s="102">
        <f>10^3</f>
        <v>1000</v>
      </c>
      <c r="C24" s="421" t="s">
        <v>52</v>
      </c>
      <c r="Q24"/>
    </row>
    <row r="25" spans="1:17" hidden="1" outlineLevel="1">
      <c r="B25" s="102">
        <f>(60*60)</f>
        <v>3600</v>
      </c>
      <c r="C25" s="421" t="s">
        <v>53</v>
      </c>
      <c r="Q25"/>
    </row>
    <row r="26" spans="1:17" collapsed="1"/>
    <row r="27" spans="1:17">
      <c r="A27" s="131" t="s">
        <v>603</v>
      </c>
      <c r="B27" s="131" t="str">
        <f>Założenia!D15</f>
        <v>TAK</v>
      </c>
    </row>
    <row r="28" spans="1:17">
      <c r="A28" s="1"/>
    </row>
    <row r="29" spans="1:17">
      <c r="A29" s="421" t="s">
        <v>250</v>
      </c>
      <c r="C29" s="624">
        <v>36</v>
      </c>
      <c r="D29" s="421" t="s">
        <v>251</v>
      </c>
      <c r="E29" s="426" t="s">
        <v>252</v>
      </c>
    </row>
    <row r="30" spans="1:17">
      <c r="A30" s="421" t="s">
        <v>253</v>
      </c>
      <c r="B30" s="14" t="s">
        <v>254</v>
      </c>
      <c r="C30" s="421">
        <f>1/$B$22</f>
        <v>3.5999999999999996</v>
      </c>
      <c r="D30" s="421" t="s">
        <v>255</v>
      </c>
      <c r="E30" s="427"/>
    </row>
    <row r="31" spans="1:17">
      <c r="A31" s="421" t="s">
        <v>250</v>
      </c>
      <c r="C31" s="428">
        <f>C29/C30</f>
        <v>10.000000000000002</v>
      </c>
      <c r="D31" s="421" t="s">
        <v>256</v>
      </c>
    </row>
    <row r="32" spans="1:17">
      <c r="A32" s="421" t="s">
        <v>257</v>
      </c>
      <c r="C32" s="542">
        <v>36</v>
      </c>
      <c r="D32" s="421" t="s">
        <v>258</v>
      </c>
    </row>
    <row r="33" spans="1:13">
      <c r="A33" s="178"/>
      <c r="B33" s="421" t="s">
        <v>259</v>
      </c>
      <c r="C33" s="421">
        <v>100</v>
      </c>
      <c r="D33" s="421" t="s">
        <v>159</v>
      </c>
    </row>
    <row r="34" spans="1:13">
      <c r="A34" s="178"/>
      <c r="B34" s="421" t="s">
        <v>260</v>
      </c>
      <c r="C34" s="421">
        <f>C32*C31/C33</f>
        <v>3.6000000000000005</v>
      </c>
      <c r="D34" s="421" t="s">
        <v>260</v>
      </c>
    </row>
    <row r="35" spans="1:13">
      <c r="A35" s="178"/>
      <c r="M35" s="207"/>
    </row>
    <row r="36" spans="1:13">
      <c r="A36" s="178"/>
      <c r="E36" s="1"/>
      <c r="F36" s="131" t="str">
        <f>F10</f>
        <v>NMHC/NMVOC</v>
      </c>
      <c r="G36" s="131" t="str">
        <f>G10</f>
        <v>NOx</v>
      </c>
      <c r="H36" s="131" t="str">
        <f>H10</f>
        <v>PM</v>
      </c>
    </row>
    <row r="37" spans="1:13">
      <c r="A37" s="178" t="s">
        <v>261</v>
      </c>
      <c r="B37" s="425" t="s">
        <v>245</v>
      </c>
      <c r="E37" s="421" t="s">
        <v>262</v>
      </c>
      <c r="F37" s="429">
        <f>VLOOKUP($B$37,$A$11:$H$17,6,FALSE)*$C$34</f>
        <v>1.6560000000000004</v>
      </c>
      <c r="G37" s="429">
        <f>VLOOKUP($B$37,$A$11:$H$17,7,FALSE)*$C$34</f>
        <v>7.2000000000000011</v>
      </c>
      <c r="H37" s="429">
        <f>VLOOKUP($B$37,$A$11:$H$17,8,FALSE)*$C$34</f>
        <v>7.2000000000000008E-2</v>
      </c>
    </row>
    <row r="38" spans="1:13">
      <c r="A38" s="178"/>
    </row>
    <row r="39" spans="1:13" s="433" customFormat="1" ht="18">
      <c r="A39" s="178" t="s">
        <v>296</v>
      </c>
      <c r="B39" s="437">
        <v>3.169</v>
      </c>
      <c r="C39" s="178" t="s">
        <v>529</v>
      </c>
      <c r="D39" s="178"/>
    </row>
    <row r="40" spans="1:13" s="433" customFormat="1">
      <c r="A40" s="178" t="s">
        <v>297</v>
      </c>
      <c r="B40" s="437">
        <v>840</v>
      </c>
      <c r="C40" s="178" t="s">
        <v>530</v>
      </c>
      <c r="D40" s="178"/>
    </row>
    <row r="41" spans="1:13" s="433" customFormat="1" ht="18">
      <c r="A41" s="178" t="s">
        <v>298</v>
      </c>
      <c r="B41" s="437">
        <f>B39*(B40/B42)</f>
        <v>2.6619600000000001</v>
      </c>
      <c r="C41" s="178"/>
      <c r="D41" s="178"/>
    </row>
    <row r="42" spans="1:13" s="433" customFormat="1">
      <c r="A42" s="178"/>
      <c r="B42" s="438">
        <f>10^3</f>
        <v>1000</v>
      </c>
      <c r="C42" s="178" t="s">
        <v>270</v>
      </c>
      <c r="D42" s="178"/>
    </row>
    <row r="43" spans="1:13" s="433" customFormat="1" ht="18" hidden="1" outlineLevel="1">
      <c r="A43" s="441" t="s">
        <v>284</v>
      </c>
      <c r="B43" s="439">
        <v>2.7</v>
      </c>
      <c r="C43" s="440" t="s">
        <v>531</v>
      </c>
      <c r="D43" s="178"/>
    </row>
    <row r="44" spans="1:13" ht="18" collapsed="1">
      <c r="A44" s="178" t="s">
        <v>291</v>
      </c>
      <c r="B44" s="429">
        <f>B41*C32/C33</f>
        <v>0.95830560000000009</v>
      </c>
    </row>
    <row r="45" spans="1:13" s="572" customFormat="1">
      <c r="A45" s="178"/>
      <c r="B45" s="455"/>
    </row>
    <row r="46" spans="1:13" s="572" customFormat="1">
      <c r="A46" s="131" t="s">
        <v>604</v>
      </c>
      <c r="B46" s="587" t="str">
        <f>Założenia!E15</f>
        <v>TAK</v>
      </c>
    </row>
    <row r="47" spans="1:13" s="572" customFormat="1">
      <c r="A47" s="178"/>
      <c r="B47" s="455"/>
    </row>
    <row r="48" spans="1:13" s="572" customFormat="1">
      <c r="A48" s="572" t="s">
        <v>250</v>
      </c>
      <c r="B48" s="455"/>
      <c r="C48" s="624">
        <v>36</v>
      </c>
      <c r="D48" s="572" t="s">
        <v>251</v>
      </c>
      <c r="E48" s="426" t="s">
        <v>252</v>
      </c>
    </row>
    <row r="49" spans="1:8" s="572" customFormat="1">
      <c r="A49" s="572" t="s">
        <v>253</v>
      </c>
      <c r="B49" s="455"/>
      <c r="C49" s="572">
        <f>1/$B$22</f>
        <v>3.5999999999999996</v>
      </c>
      <c r="D49" s="572" t="s">
        <v>255</v>
      </c>
    </row>
    <row r="50" spans="1:8" s="572" customFormat="1">
      <c r="A50" s="572" t="s">
        <v>250</v>
      </c>
      <c r="B50" s="455"/>
      <c r="C50" s="178">
        <f>C48/C49</f>
        <v>10.000000000000002</v>
      </c>
      <c r="D50" s="572" t="s">
        <v>256</v>
      </c>
    </row>
    <row r="51" spans="1:8" s="572" customFormat="1">
      <c r="A51" s="572" t="s">
        <v>257</v>
      </c>
      <c r="B51" s="455"/>
      <c r="C51" s="571">
        <v>36</v>
      </c>
      <c r="D51" s="572" t="s">
        <v>258</v>
      </c>
    </row>
    <row r="52" spans="1:8" s="572" customFormat="1">
      <c r="A52" s="178"/>
      <c r="B52" s="455"/>
      <c r="C52" s="572">
        <v>100</v>
      </c>
      <c r="D52" s="572" t="s">
        <v>159</v>
      </c>
    </row>
    <row r="53" spans="1:8" s="572" customFormat="1">
      <c r="A53" s="178"/>
      <c r="B53" s="455"/>
      <c r="C53" s="572">
        <f>C51*C50/C52</f>
        <v>3.6000000000000005</v>
      </c>
      <c r="D53" s="572" t="s">
        <v>260</v>
      </c>
    </row>
    <row r="54" spans="1:8" s="572" customFormat="1">
      <c r="A54" s="178"/>
      <c r="B54" s="455"/>
      <c r="E54" s="1"/>
      <c r="F54" s="131" t="str">
        <f>F36</f>
        <v>NMHC/NMVOC</v>
      </c>
      <c r="G54" s="131" t="str">
        <f t="shared" ref="G54:H54" si="1">G36</f>
        <v>NOx</v>
      </c>
      <c r="H54" s="131" t="str">
        <f t="shared" si="1"/>
        <v>PM</v>
      </c>
    </row>
    <row r="55" spans="1:8" s="572" customFormat="1">
      <c r="A55" s="178"/>
      <c r="B55" s="455"/>
      <c r="E55" s="572" t="s">
        <v>262</v>
      </c>
      <c r="F55" s="575">
        <f>VLOOKUP($B$56,$A$11:$H$17,6,FALSE)*$C$53</f>
        <v>1.6560000000000004</v>
      </c>
      <c r="G55" s="575">
        <f>VLOOKUP($B$56,$A$11:$H$17,7,FALSE)*$C$53</f>
        <v>12.600000000000001</v>
      </c>
      <c r="H55" s="575">
        <f>VLOOKUP($B$56,$A$11:$H$17,8,FALSE)*$C$53</f>
        <v>7.2000000000000008E-2</v>
      </c>
    </row>
    <row r="56" spans="1:8" s="572" customFormat="1">
      <c r="A56" s="178" t="s">
        <v>261</v>
      </c>
      <c r="B56" s="580" t="s">
        <v>243</v>
      </c>
    </row>
    <row r="57" spans="1:8" s="572" customFormat="1">
      <c r="A57" s="178"/>
      <c r="B57" s="455"/>
    </row>
    <row r="58" spans="1:8" s="572" customFormat="1" ht="18">
      <c r="A58" s="178" t="s">
        <v>296</v>
      </c>
      <c r="B58" s="455">
        <v>3.169</v>
      </c>
      <c r="C58" s="572" t="s">
        <v>529</v>
      </c>
    </row>
    <row r="59" spans="1:8" s="572" customFormat="1">
      <c r="A59" s="178" t="s">
        <v>297</v>
      </c>
      <c r="B59" s="455">
        <v>840</v>
      </c>
      <c r="C59" s="572" t="s">
        <v>530</v>
      </c>
    </row>
    <row r="60" spans="1:8" s="572" customFormat="1" ht="18">
      <c r="A60" s="178" t="s">
        <v>298</v>
      </c>
      <c r="B60" s="455">
        <f>B58*(B59/B61)</f>
        <v>2.6619600000000001</v>
      </c>
    </row>
    <row r="61" spans="1:8" s="572" customFormat="1">
      <c r="A61" s="178"/>
      <c r="B61" s="455">
        <f>10^3</f>
        <v>1000</v>
      </c>
      <c r="C61" s="572" t="s">
        <v>270</v>
      </c>
    </row>
    <row r="62" spans="1:8" s="572" customFormat="1" ht="18" hidden="1" outlineLevel="1">
      <c r="A62" s="441" t="s">
        <v>284</v>
      </c>
      <c r="B62" s="439">
        <v>2.7</v>
      </c>
      <c r="C62" s="440" t="s">
        <v>531</v>
      </c>
    </row>
    <row r="63" spans="1:8" s="572" customFormat="1" ht="18" collapsed="1">
      <c r="A63" s="178" t="s">
        <v>291</v>
      </c>
      <c r="B63" s="429">
        <f>B60*C51/C52</f>
        <v>0.95830560000000009</v>
      </c>
    </row>
    <row r="64" spans="1:8" s="579" customFormat="1">
      <c r="A64" s="178"/>
      <c r="B64" s="455"/>
    </row>
    <row r="65" spans="1:8" s="579" customFormat="1">
      <c r="A65" s="131" t="s">
        <v>632</v>
      </c>
      <c r="B65" s="587" t="str">
        <f>Założenia!F15</f>
        <v>NIE</v>
      </c>
    </row>
    <row r="66" spans="1:8" s="579" customFormat="1">
      <c r="A66" s="178"/>
      <c r="B66" s="455"/>
    </row>
    <row r="67" spans="1:8" s="579" customFormat="1">
      <c r="A67" s="579" t="s">
        <v>250</v>
      </c>
      <c r="C67" s="624">
        <v>36</v>
      </c>
      <c r="D67" s="579" t="s">
        <v>251</v>
      </c>
      <c r="E67" s="426" t="s">
        <v>252</v>
      </c>
    </row>
    <row r="68" spans="1:8" s="579" customFormat="1">
      <c r="A68" s="579" t="s">
        <v>253</v>
      </c>
      <c r="B68" s="14" t="s">
        <v>254</v>
      </c>
      <c r="C68" s="579">
        <f>1/$B$22</f>
        <v>3.5999999999999996</v>
      </c>
      <c r="D68" s="579" t="s">
        <v>255</v>
      </c>
    </row>
    <row r="69" spans="1:8" s="579" customFormat="1">
      <c r="A69" s="579" t="s">
        <v>250</v>
      </c>
      <c r="C69" s="579">
        <f>C67/C68</f>
        <v>10.000000000000002</v>
      </c>
      <c r="D69" s="579" t="s">
        <v>256</v>
      </c>
    </row>
    <row r="70" spans="1:8" s="579" customFormat="1">
      <c r="A70" s="579" t="s">
        <v>257</v>
      </c>
      <c r="C70" s="577">
        <v>26</v>
      </c>
      <c r="D70" s="579" t="s">
        <v>258</v>
      </c>
    </row>
    <row r="71" spans="1:8" s="579" customFormat="1">
      <c r="A71" s="178"/>
      <c r="B71" s="579" t="s">
        <v>259</v>
      </c>
      <c r="C71" s="579">
        <v>100</v>
      </c>
      <c r="D71" s="579" t="s">
        <v>159</v>
      </c>
    </row>
    <row r="72" spans="1:8" s="579" customFormat="1">
      <c r="A72" s="178"/>
      <c r="B72" s="579" t="s">
        <v>260</v>
      </c>
      <c r="C72" s="579">
        <f>C70*C69/C71</f>
        <v>2.6000000000000005</v>
      </c>
      <c r="D72" s="579" t="s">
        <v>260</v>
      </c>
    </row>
    <row r="73" spans="1:8" s="579" customFormat="1">
      <c r="A73" s="178"/>
      <c r="F73" s="131" t="str">
        <f>F54</f>
        <v>NMHC/NMVOC</v>
      </c>
      <c r="G73" s="131" t="str">
        <f t="shared" ref="G73:H73" si="2">G54</f>
        <v>NOx</v>
      </c>
      <c r="H73" s="131" t="str">
        <f t="shared" si="2"/>
        <v>PM</v>
      </c>
    </row>
    <row r="74" spans="1:8" s="579" customFormat="1">
      <c r="A74" s="178"/>
      <c r="B74" s="455"/>
      <c r="E74" s="579" t="s">
        <v>262</v>
      </c>
      <c r="F74" s="575">
        <f>VLOOKUP($B$75,$A$11:$H$17,6,FALSE)*$C$72</f>
        <v>1.1960000000000004</v>
      </c>
      <c r="G74" s="575">
        <f>VLOOKUP($B$75,$A$11:$H$17,7,FALSE)*$C$72</f>
        <v>9.1000000000000014</v>
      </c>
      <c r="H74" s="575">
        <f>VLOOKUP($B$75,$A$11:$H$17,8,FALSE)*$C$72</f>
        <v>5.2000000000000011E-2</v>
      </c>
    </row>
    <row r="75" spans="1:8" s="579" customFormat="1">
      <c r="A75" s="178" t="s">
        <v>261</v>
      </c>
      <c r="B75" s="580" t="s">
        <v>243</v>
      </c>
    </row>
    <row r="76" spans="1:8" s="579" customFormat="1">
      <c r="A76" s="178"/>
      <c r="B76" s="455"/>
    </row>
    <row r="77" spans="1:8" s="579" customFormat="1" ht="18">
      <c r="A77" s="178" t="s">
        <v>296</v>
      </c>
      <c r="B77" s="455">
        <v>3.169</v>
      </c>
      <c r="C77" s="579" t="s">
        <v>529</v>
      </c>
    </row>
    <row r="78" spans="1:8" s="579" customFormat="1">
      <c r="A78" s="178" t="s">
        <v>297</v>
      </c>
      <c r="B78" s="455">
        <v>840</v>
      </c>
      <c r="C78" s="579" t="s">
        <v>530</v>
      </c>
    </row>
    <row r="79" spans="1:8" s="579" customFormat="1" ht="18">
      <c r="A79" s="178" t="s">
        <v>298</v>
      </c>
      <c r="B79" s="455">
        <f>B77*(B78/B80)</f>
        <v>2.6619600000000001</v>
      </c>
    </row>
    <row r="80" spans="1:8" s="579" customFormat="1">
      <c r="A80" s="178"/>
      <c r="B80" s="455">
        <f>10^3</f>
        <v>1000</v>
      </c>
      <c r="C80" s="579" t="s">
        <v>270</v>
      </c>
    </row>
    <row r="81" spans="1:5" s="579" customFormat="1" ht="18" hidden="1" outlineLevel="1">
      <c r="A81" s="441" t="s">
        <v>284</v>
      </c>
      <c r="B81" s="439">
        <v>2.7</v>
      </c>
      <c r="C81" s="440" t="s">
        <v>531</v>
      </c>
    </row>
    <row r="82" spans="1:5" s="579" customFormat="1" ht="18" collapsed="1">
      <c r="A82" s="178" t="s">
        <v>291</v>
      </c>
      <c r="B82" s="429">
        <f>B79*C70/C71</f>
        <v>0.69210959999999999</v>
      </c>
    </row>
    <row r="83" spans="1:5" s="579" customFormat="1" hidden="1">
      <c r="A83" s="178"/>
      <c r="B83" s="455"/>
    </row>
    <row r="84" spans="1:5" s="579" customFormat="1" hidden="1">
      <c r="A84" s="178"/>
      <c r="B84" s="455"/>
    </row>
    <row r="85" spans="1:5" s="579" customFormat="1" hidden="1">
      <c r="A85" s="178"/>
      <c r="B85" s="455"/>
    </row>
    <row r="86" spans="1:5" s="579" customFormat="1" hidden="1">
      <c r="A86" s="178"/>
      <c r="B86" s="455"/>
    </row>
    <row r="87" spans="1:5" hidden="1"/>
    <row r="88" spans="1:5" hidden="1">
      <c r="A88" s="131" t="s">
        <v>263</v>
      </c>
    </row>
    <row r="89" spans="1:5" hidden="1">
      <c r="A89" s="1"/>
    </row>
    <row r="90" spans="1:5" ht="17.25" hidden="1">
      <c r="A90" s="421" t="s">
        <v>264</v>
      </c>
      <c r="C90" s="425">
        <v>33</v>
      </c>
      <c r="D90" s="421" t="s">
        <v>285</v>
      </c>
      <c r="E90" s="426" t="s">
        <v>252</v>
      </c>
    </row>
    <row r="91" spans="1:5" hidden="1">
      <c r="A91" s="421" t="s">
        <v>253</v>
      </c>
      <c r="B91" s="14" t="s">
        <v>254</v>
      </c>
      <c r="C91" s="421">
        <f>1/$B$22</f>
        <v>3.5999999999999996</v>
      </c>
      <c r="D91" s="421" t="s">
        <v>255</v>
      </c>
    </row>
    <row r="92" spans="1:5" ht="17.25" hidden="1">
      <c r="A92" s="421" t="s">
        <v>264</v>
      </c>
      <c r="C92" s="428">
        <f>C90/C91</f>
        <v>9.1666666666666679</v>
      </c>
      <c r="D92" s="421" t="s">
        <v>286</v>
      </c>
    </row>
    <row r="93" spans="1:5" hidden="1">
      <c r="A93" s="421" t="s">
        <v>257</v>
      </c>
      <c r="C93" s="425">
        <v>60</v>
      </c>
      <c r="D93" s="421" t="s">
        <v>265</v>
      </c>
    </row>
    <row r="94" spans="1:5" hidden="1">
      <c r="B94" s="421" t="s">
        <v>259</v>
      </c>
      <c r="C94" s="421">
        <v>100</v>
      </c>
      <c r="D94" s="433" t="s">
        <v>159</v>
      </c>
    </row>
    <row r="95" spans="1:5" hidden="1">
      <c r="B95" s="421" t="s">
        <v>260</v>
      </c>
      <c r="C95" s="133">
        <f>C92*C93/C94</f>
        <v>5.5000000000000009</v>
      </c>
      <c r="D95" s="421" t="s">
        <v>260</v>
      </c>
    </row>
    <row r="96" spans="1:5" hidden="1"/>
    <row r="97" spans="1:8" hidden="1">
      <c r="E97" s="1"/>
      <c r="F97" s="131" t="str">
        <f>F10</f>
        <v>NMHC/NMVOC</v>
      </c>
      <c r="G97" s="131" t="str">
        <f t="shared" ref="G97:H97" si="3">G10</f>
        <v>NOx</v>
      </c>
      <c r="H97" s="131" t="str">
        <f t="shared" si="3"/>
        <v>PM</v>
      </c>
    </row>
    <row r="98" spans="1:8" hidden="1">
      <c r="A98" s="421" t="s">
        <v>261</v>
      </c>
      <c r="B98" s="425" t="s">
        <v>247</v>
      </c>
      <c r="E98" s="421" t="s">
        <v>262</v>
      </c>
      <c r="F98" s="429">
        <f>VLOOKUP($B$98,$A$11:$H$17,6,FALSE)*$C$95</f>
        <v>0.71500000000000019</v>
      </c>
      <c r="G98" s="429">
        <f>VLOOKUP($B$98,$A$11:$H$17,7,FALSE)*$C$95</f>
        <v>2.2000000000000006</v>
      </c>
      <c r="H98" s="430">
        <f>VLOOKUP($B$98,$A$11:$H$17,8,FALSE)*$C$95</f>
        <v>5.5000000000000007E-2</v>
      </c>
    </row>
    <row r="99" spans="1:8" s="433" customFormat="1" ht="18" hidden="1" outlineLevel="1">
      <c r="A99" s="441" t="s">
        <v>288</v>
      </c>
      <c r="B99" s="439">
        <v>2.7429999999999999</v>
      </c>
      <c r="C99" s="440" t="s">
        <v>529</v>
      </c>
    </row>
    <row r="100" spans="1:8" s="433" customFormat="1" hidden="1" outlineLevel="1">
      <c r="A100" s="441" t="s">
        <v>268</v>
      </c>
      <c r="B100" s="439">
        <v>175</v>
      </c>
      <c r="C100" s="440" t="s">
        <v>530</v>
      </c>
    </row>
    <row r="101" spans="1:8" s="433" customFormat="1" ht="18" hidden="1" outlineLevel="1">
      <c r="A101" s="441" t="s">
        <v>289</v>
      </c>
      <c r="B101" s="439">
        <f>B99*(B100/B103)</f>
        <v>0.48002499999999992</v>
      </c>
      <c r="C101" s="440"/>
    </row>
    <row r="102" spans="1:8" s="433" customFormat="1" ht="18.75" hidden="1" outlineLevel="1">
      <c r="A102" s="441" t="s">
        <v>290</v>
      </c>
      <c r="B102" s="439">
        <f>B101*B104</f>
        <v>480.02499999999992</v>
      </c>
      <c r="C102" s="440"/>
    </row>
    <row r="103" spans="1:8" s="433" customFormat="1" hidden="1" outlineLevel="1">
      <c r="A103" s="178"/>
      <c r="B103" s="438">
        <f>10^3</f>
        <v>1000</v>
      </c>
      <c r="C103" s="178" t="s">
        <v>270</v>
      </c>
    </row>
    <row r="104" spans="1:8" s="433" customFormat="1" ht="17.25" hidden="1" outlineLevel="1">
      <c r="A104" s="178"/>
      <c r="B104" s="438">
        <f>10^3</f>
        <v>1000</v>
      </c>
      <c r="C104" s="178" t="s">
        <v>287</v>
      </c>
    </row>
    <row r="105" spans="1:8" ht="18.75" hidden="1" collapsed="1">
      <c r="A105" s="442" t="s">
        <v>299</v>
      </c>
      <c r="B105" s="443">
        <v>1.9</v>
      </c>
      <c r="C105" s="347" t="s">
        <v>531</v>
      </c>
      <c r="E105" s="431"/>
      <c r="F105" s="431"/>
      <c r="G105" s="431"/>
      <c r="H105" s="432"/>
    </row>
    <row r="106" spans="1:8" ht="18" hidden="1">
      <c r="A106" s="421" t="s">
        <v>291</v>
      </c>
      <c r="B106" s="429">
        <f>B105*C93/C94</f>
        <v>1.1399999999999999</v>
      </c>
      <c r="E106" s="431"/>
      <c r="F106" s="431"/>
      <c r="G106" s="431"/>
      <c r="H106" s="432"/>
    </row>
    <row r="107" spans="1:8" hidden="1">
      <c r="E107" s="431"/>
      <c r="F107" s="431"/>
      <c r="G107" s="431"/>
      <c r="H107" s="432"/>
    </row>
    <row r="108" spans="1:8" s="570" customFormat="1" hidden="1">
      <c r="A108" s="131" t="s">
        <v>599</v>
      </c>
      <c r="E108" s="431"/>
      <c r="F108" s="431"/>
      <c r="G108" s="431"/>
      <c r="H108" s="432"/>
    </row>
    <row r="109" spans="1:8" s="570" customFormat="1" hidden="1">
      <c r="E109" s="431"/>
      <c r="F109" s="431"/>
      <c r="G109" s="431"/>
      <c r="H109" s="432"/>
    </row>
    <row r="110" spans="1:8" s="570" customFormat="1" hidden="1">
      <c r="A110" s="570" t="s">
        <v>600</v>
      </c>
      <c r="C110" s="569">
        <v>24</v>
      </c>
      <c r="D110" s="570" t="s">
        <v>251</v>
      </c>
      <c r="E110" s="431" t="s">
        <v>252</v>
      </c>
      <c r="F110" s="431"/>
      <c r="G110" s="431"/>
      <c r="H110" s="432"/>
    </row>
    <row r="111" spans="1:8" s="570" customFormat="1" hidden="1">
      <c r="A111" s="570" t="s">
        <v>253</v>
      </c>
      <c r="C111" s="570">
        <f>1/$B$22</f>
        <v>3.5999999999999996</v>
      </c>
      <c r="D111" s="570" t="s">
        <v>255</v>
      </c>
      <c r="E111" s="431"/>
      <c r="F111" s="431"/>
      <c r="G111" s="431"/>
      <c r="H111" s="432"/>
    </row>
    <row r="112" spans="1:8" s="570" customFormat="1" hidden="1">
      <c r="A112" s="570" t="s">
        <v>600</v>
      </c>
      <c r="C112" s="428">
        <f>C110/C111</f>
        <v>6.666666666666667</v>
      </c>
      <c r="D112" s="570" t="s">
        <v>256</v>
      </c>
      <c r="E112" s="431"/>
      <c r="F112" s="431"/>
      <c r="G112" s="431"/>
      <c r="H112" s="432"/>
    </row>
    <row r="113" spans="1:8" s="570" customFormat="1" hidden="1">
      <c r="A113" s="570" t="s">
        <v>257</v>
      </c>
      <c r="C113" s="569">
        <v>55</v>
      </c>
      <c r="D113" s="570" t="s">
        <v>258</v>
      </c>
      <c r="E113" s="431"/>
      <c r="F113" s="431"/>
      <c r="G113" s="431"/>
      <c r="H113" s="432"/>
    </row>
    <row r="114" spans="1:8" s="570" customFormat="1" hidden="1">
      <c r="B114" s="570" t="s">
        <v>259</v>
      </c>
      <c r="C114" s="570">
        <v>100</v>
      </c>
      <c r="D114" s="570" t="s">
        <v>159</v>
      </c>
      <c r="E114" s="431"/>
      <c r="F114" s="431"/>
      <c r="G114" s="431"/>
      <c r="H114" s="432"/>
    </row>
    <row r="115" spans="1:8" s="570" customFormat="1" hidden="1">
      <c r="B115" s="570" t="s">
        <v>260</v>
      </c>
      <c r="C115" s="428">
        <f>C112*C113/C114</f>
        <v>3.666666666666667</v>
      </c>
      <c r="D115" s="570" t="s">
        <v>260</v>
      </c>
      <c r="E115" s="431"/>
      <c r="F115" s="431"/>
      <c r="G115" s="431"/>
      <c r="H115" s="432"/>
    </row>
    <row r="116" spans="1:8" s="570" customFormat="1" hidden="1">
      <c r="E116" s="431"/>
      <c r="F116" s="431"/>
      <c r="G116" s="431"/>
      <c r="H116" s="432"/>
    </row>
    <row r="117" spans="1:8" s="570" customFormat="1" hidden="1">
      <c r="E117" s="431"/>
      <c r="F117" s="131" t="str">
        <f>F10</f>
        <v>NMHC/NMVOC</v>
      </c>
      <c r="G117" s="131" t="str">
        <f t="shared" ref="G117:H117" si="4">G10</f>
        <v>NOx</v>
      </c>
      <c r="H117" s="131" t="str">
        <f t="shared" si="4"/>
        <v>PM</v>
      </c>
    </row>
    <row r="118" spans="1:8" s="570" customFormat="1" hidden="1">
      <c r="A118" s="570" t="s">
        <v>261</v>
      </c>
      <c r="B118" s="569" t="s">
        <v>247</v>
      </c>
      <c r="E118" s="431"/>
      <c r="F118" s="574">
        <f>VLOOKUP($B$118,$A$11:$H$17,6,FALSE)*$C$115</f>
        <v>0.47666666666666674</v>
      </c>
      <c r="G118" s="574">
        <f>VLOOKUP($B$118,$A$11:$H$17,7,FALSE)*$C$115</f>
        <v>1.4666666666666668</v>
      </c>
      <c r="H118" s="576">
        <f>VLOOKUP($B$118,$A$11:$H$17,8,FALSE)*$C$115</f>
        <v>3.6666666666666674E-2</v>
      </c>
    </row>
    <row r="119" spans="1:8" s="570" customFormat="1" hidden="1">
      <c r="A119" s="570" t="s">
        <v>601</v>
      </c>
      <c r="B119" s="570">
        <v>3.024</v>
      </c>
      <c r="C119" s="178" t="s">
        <v>529</v>
      </c>
      <c r="E119" s="431"/>
      <c r="F119" s="431"/>
      <c r="G119" s="431"/>
      <c r="H119" s="432"/>
    </row>
    <row r="120" spans="1:8" s="570" customFormat="1" hidden="1">
      <c r="A120" s="570" t="s">
        <v>297</v>
      </c>
      <c r="B120" s="570">
        <v>520</v>
      </c>
      <c r="C120" s="178" t="s">
        <v>530</v>
      </c>
      <c r="E120" s="431"/>
      <c r="F120" s="431"/>
      <c r="G120" s="431"/>
      <c r="H120" s="432"/>
    </row>
    <row r="121" spans="1:8" s="570" customFormat="1" hidden="1">
      <c r="A121" s="570" t="s">
        <v>602</v>
      </c>
      <c r="B121" s="428">
        <f>B119*(B120/B122)</f>
        <v>1.5724800000000001</v>
      </c>
      <c r="E121" s="431"/>
      <c r="F121" s="431"/>
      <c r="G121" s="431"/>
      <c r="H121" s="432"/>
    </row>
    <row r="122" spans="1:8" s="570" customFormat="1" hidden="1">
      <c r="B122" s="570">
        <f>10^3</f>
        <v>1000</v>
      </c>
      <c r="C122" s="178" t="s">
        <v>270</v>
      </c>
      <c r="E122" s="431"/>
      <c r="F122" s="431"/>
      <c r="G122" s="431"/>
      <c r="H122" s="432"/>
    </row>
    <row r="123" spans="1:8" s="570" customFormat="1" ht="18" hidden="1">
      <c r="A123" s="453" t="s">
        <v>284</v>
      </c>
      <c r="B123" s="439">
        <v>1.6</v>
      </c>
      <c r="C123" s="440" t="s">
        <v>531</v>
      </c>
      <c r="E123" s="431"/>
      <c r="F123" s="431"/>
      <c r="G123" s="431"/>
      <c r="H123" s="432"/>
    </row>
    <row r="124" spans="1:8" s="570" customFormat="1" ht="18" hidden="1">
      <c r="A124" s="570" t="s">
        <v>291</v>
      </c>
      <c r="B124" s="575">
        <f>B121*C113/C114</f>
        <v>0.86486400000000008</v>
      </c>
      <c r="E124" s="431"/>
      <c r="F124" s="431"/>
      <c r="G124" s="431"/>
      <c r="H124" s="432"/>
    </row>
    <row r="125" spans="1:8" s="570" customFormat="1" hidden="1">
      <c r="E125" s="431"/>
      <c r="F125" s="431"/>
      <c r="G125" s="431"/>
      <c r="H125" s="432"/>
    </row>
    <row r="126" spans="1:8" hidden="1">
      <c r="A126" s="131" t="s">
        <v>266</v>
      </c>
    </row>
    <row r="127" spans="1:8" hidden="1"/>
    <row r="128" spans="1:8" hidden="1">
      <c r="A128" s="421" t="s">
        <v>681</v>
      </c>
      <c r="C128" s="425">
        <v>120</v>
      </c>
      <c r="D128" s="421" t="s">
        <v>533</v>
      </c>
    </row>
    <row r="129" spans="1:8" hidden="1">
      <c r="B129" s="421" t="s">
        <v>532</v>
      </c>
      <c r="C129" s="421">
        <v>100</v>
      </c>
    </row>
    <row r="130" spans="1:8" hidden="1">
      <c r="B130" s="421" t="s">
        <v>260</v>
      </c>
      <c r="C130" s="133">
        <f>C128/C129</f>
        <v>1.2</v>
      </c>
      <c r="D130" s="421" t="s">
        <v>260</v>
      </c>
    </row>
    <row r="131" spans="1:8" hidden="1">
      <c r="C131" s="133"/>
      <c r="D131" s="133"/>
    </row>
    <row r="132" spans="1:8" hidden="1">
      <c r="E132" s="131" t="str">
        <f>E19</f>
        <v>SO2</v>
      </c>
      <c r="F132" s="131" t="str">
        <f t="shared" ref="F132:H132" si="5">F19</f>
        <v>NMHC/NMVOC</v>
      </c>
      <c r="G132" s="131" t="str">
        <f t="shared" si="5"/>
        <v>NOx</v>
      </c>
      <c r="H132" s="131" t="str">
        <f t="shared" si="5"/>
        <v>PM</v>
      </c>
    </row>
    <row r="133" spans="1:8" hidden="1">
      <c r="C133" s="421" t="s">
        <v>262</v>
      </c>
      <c r="E133" s="429">
        <f>E$20*$C$128/$C$129</f>
        <v>0.61319999999999997</v>
      </c>
      <c r="F133" s="429">
        <f>F$20*$C$128/$C$129</f>
        <v>6.0480000000000004E-3</v>
      </c>
      <c r="G133" s="429">
        <f>G$20*$C$128/$C$129</f>
        <v>0.69119999999999993</v>
      </c>
      <c r="H133" s="429">
        <f>H$20*$C$128/$C$129</f>
        <v>3.4799999999999998E-2</v>
      </c>
    </row>
    <row r="134" spans="1:8" hidden="1"/>
    <row r="135" spans="1:8" ht="18" hidden="1">
      <c r="A135" s="421" t="s">
        <v>292</v>
      </c>
      <c r="B135" s="581">
        <f>D$20</f>
        <v>662.90204904313487</v>
      </c>
      <c r="C135" s="178" t="s">
        <v>534</v>
      </c>
      <c r="D135" s="178"/>
    </row>
    <row r="136" spans="1:8" ht="18" hidden="1">
      <c r="A136" s="421" t="s">
        <v>291</v>
      </c>
      <c r="B136" s="430">
        <f>B135*C130/1000</f>
        <v>0.79548245885176183</v>
      </c>
    </row>
    <row r="137" spans="1:8" ht="18" hidden="1">
      <c r="A137" s="421" t="s">
        <v>293</v>
      </c>
    </row>
    <row r="138" spans="1:8" hidden="1">
      <c r="A138" s="421" t="s">
        <v>535</v>
      </c>
    </row>
    <row r="139" spans="1:8" ht="18" hidden="1">
      <c r="A139" s="483" t="s">
        <v>294</v>
      </c>
    </row>
    <row r="140" spans="1:8">
      <c r="A140" s="145"/>
    </row>
    <row r="141" spans="1:8"/>
    <row r="142" spans="1:8"/>
    <row r="143" spans="1:8"/>
    <row r="144" spans="1:8"/>
    <row r="145"/>
    <row r="146"/>
  </sheetData>
  <dataValidations count="2">
    <dataValidation type="list" allowBlank="1" showInputMessage="1" showErrorMessage="1" sqref="B37 B98 B56 B75">
      <formula1>$A$11:$A$17</formula1>
    </dataValidation>
    <dataValidation type="custom" allowBlank="1" showInputMessage="1" showErrorMessage="1" sqref="A11:A17">
      <formula1>B37</formula1>
    </dataValidation>
  </dataValidations>
  <hyperlinks>
    <hyperlink ref="A139" location="'Zmiany klimatu (GHG) samochody'!A180" display="Zmiany wskaźnika emisji CO2 względem roku 2019"/>
  </hyperlink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347"/>
  <sheetViews>
    <sheetView workbookViewId="0">
      <pane ySplit="1" topLeftCell="A2" activePane="bottomLeft" state="frozen"/>
      <selection pane="bottomLeft" activeCell="A2" sqref="A2"/>
    </sheetView>
  </sheetViews>
  <sheetFormatPr defaultColWidth="0" defaultRowHeight="15" customHeight="1" zeroHeight="1" outlineLevelRow="1"/>
  <cols>
    <col min="1" max="1" width="29" style="572" customWidth="1"/>
    <col min="2" max="2" width="15.7109375" style="572" bestFit="1" customWidth="1"/>
    <col min="3" max="5" width="15" style="572" customWidth="1"/>
    <col min="6" max="6" width="18.85546875" style="572" customWidth="1"/>
    <col min="7" max="8" width="15" style="572" customWidth="1"/>
    <col min="9" max="9" width="59.7109375" style="572" bestFit="1" customWidth="1"/>
    <col min="10" max="10" width="18.140625" style="572" customWidth="1"/>
    <col min="11" max="11" width="10" style="572" bestFit="1" customWidth="1"/>
    <col min="12" max="59" width="9.140625" style="572" customWidth="1"/>
    <col min="60" max="16384" width="9.140625" style="572" hidden="1"/>
  </cols>
  <sheetData>
    <row r="1" spans="1:10" ht="24">
      <c r="A1" s="4" t="s">
        <v>655</v>
      </c>
      <c r="B1" s="5"/>
      <c r="C1" s="103"/>
      <c r="D1" s="103"/>
      <c r="E1" s="103"/>
      <c r="F1" s="103"/>
      <c r="G1" s="103"/>
      <c r="H1" s="103"/>
      <c r="I1" s="103"/>
      <c r="J1" s="103"/>
    </row>
    <row r="2" spans="1:10" ht="15" customHeight="1"/>
    <row r="3" spans="1:10" ht="15" customHeight="1"/>
    <row r="4" spans="1:10" ht="15" customHeight="1"/>
    <row r="5" spans="1:10" ht="15" customHeight="1"/>
    <row r="6" spans="1:10" ht="15" customHeight="1"/>
    <row r="7" spans="1:10" ht="15" customHeight="1"/>
    <row r="8" spans="1:10" ht="15" customHeight="1"/>
    <row r="9" spans="1:10" ht="15" customHeight="1"/>
    <row r="10" spans="1:10" ht="18">
      <c r="A10" s="131" t="s">
        <v>230</v>
      </c>
      <c r="B10" s="131" t="s">
        <v>267</v>
      </c>
      <c r="C10" s="131" t="s">
        <v>231</v>
      </c>
      <c r="D10" s="131"/>
      <c r="E10" s="131"/>
      <c r="F10" s="131" t="s">
        <v>232</v>
      </c>
      <c r="G10" s="131" t="s">
        <v>283</v>
      </c>
      <c r="H10" s="131" t="s">
        <v>233</v>
      </c>
      <c r="I10" s="131" t="s">
        <v>234</v>
      </c>
      <c r="J10" s="131" t="s">
        <v>235</v>
      </c>
    </row>
    <row r="11" spans="1:10">
      <c r="A11" s="572" t="s">
        <v>236</v>
      </c>
      <c r="B11" s="572" t="s">
        <v>237</v>
      </c>
      <c r="C11" s="572" t="s">
        <v>238</v>
      </c>
      <c r="F11" s="133">
        <v>1.1000000000000001</v>
      </c>
      <c r="G11" s="134">
        <v>8</v>
      </c>
      <c r="H11" s="133">
        <v>0.36</v>
      </c>
      <c r="I11" s="572" t="s">
        <v>518</v>
      </c>
      <c r="J11" s="572" t="s">
        <v>523</v>
      </c>
    </row>
    <row r="12" spans="1:10">
      <c r="A12" s="572" t="s">
        <v>239</v>
      </c>
      <c r="B12" s="572" t="s">
        <v>240</v>
      </c>
      <c r="C12" s="572" t="s">
        <v>238</v>
      </c>
      <c r="F12" s="133">
        <v>1.1000000000000001</v>
      </c>
      <c r="G12" s="134">
        <v>7</v>
      </c>
      <c r="H12" s="133">
        <v>0.15</v>
      </c>
      <c r="I12" s="572" t="s">
        <v>518</v>
      </c>
      <c r="J12" s="572" t="s">
        <v>523</v>
      </c>
    </row>
    <row r="13" spans="1:10">
      <c r="A13" s="572" t="s">
        <v>241</v>
      </c>
      <c r="B13" s="572" t="s">
        <v>242</v>
      </c>
      <c r="C13" s="572" t="s">
        <v>238</v>
      </c>
      <c r="F13" s="133">
        <v>0.66</v>
      </c>
      <c r="G13" s="134">
        <v>5</v>
      </c>
      <c r="H13" s="133">
        <v>0.1</v>
      </c>
      <c r="I13" s="572" t="s">
        <v>519</v>
      </c>
      <c r="J13" s="424" t="s">
        <v>524</v>
      </c>
    </row>
    <row r="14" spans="1:10">
      <c r="A14" s="572" t="s">
        <v>243</v>
      </c>
      <c r="B14" s="572" t="s">
        <v>244</v>
      </c>
      <c r="C14" s="572" t="s">
        <v>238</v>
      </c>
      <c r="F14" s="133">
        <v>0.46</v>
      </c>
      <c r="G14" s="134">
        <v>3.5</v>
      </c>
      <c r="H14" s="133">
        <v>0.02</v>
      </c>
      <c r="I14" s="572" t="s">
        <v>520</v>
      </c>
      <c r="J14" s="424" t="s">
        <v>525</v>
      </c>
    </row>
    <row r="15" spans="1:10">
      <c r="A15" s="572" t="s">
        <v>245</v>
      </c>
      <c r="B15" s="572" t="s">
        <v>246</v>
      </c>
      <c r="C15" s="572" t="s">
        <v>238</v>
      </c>
      <c r="F15" s="133">
        <v>0.46</v>
      </c>
      <c r="G15" s="134">
        <v>2</v>
      </c>
      <c r="H15" s="133">
        <v>0.02</v>
      </c>
      <c r="I15" s="572" t="s">
        <v>521</v>
      </c>
      <c r="J15" s="424" t="s">
        <v>526</v>
      </c>
    </row>
    <row r="16" spans="1:10">
      <c r="A16" s="149" t="s">
        <v>247</v>
      </c>
      <c r="B16" s="149" t="s">
        <v>248</v>
      </c>
      <c r="C16" s="149" t="s">
        <v>238</v>
      </c>
      <c r="D16" s="149"/>
      <c r="E16" s="149"/>
      <c r="F16" s="150">
        <v>0.13</v>
      </c>
      <c r="G16" s="152">
        <v>0.4</v>
      </c>
      <c r="H16" s="150">
        <v>0.01</v>
      </c>
      <c r="I16" s="149" t="s">
        <v>522</v>
      </c>
      <c r="J16" s="434" t="s">
        <v>527</v>
      </c>
    </row>
    <row r="17" spans="1:10">
      <c r="A17" s="149" t="s">
        <v>249</v>
      </c>
      <c r="B17" s="149"/>
      <c r="C17" s="149" t="s">
        <v>238</v>
      </c>
      <c r="D17" s="149"/>
      <c r="E17" s="149"/>
      <c r="F17" s="435">
        <v>0.13</v>
      </c>
      <c r="G17" s="436">
        <v>0.4</v>
      </c>
      <c r="H17" s="435">
        <v>0.01</v>
      </c>
      <c r="I17" s="149"/>
      <c r="J17" s="149"/>
    </row>
    <row r="18" spans="1:10" ht="15" customHeight="1"/>
    <row r="19" spans="1:10" ht="18">
      <c r="D19" s="131" t="s">
        <v>281</v>
      </c>
      <c r="E19" s="131" t="s">
        <v>282</v>
      </c>
      <c r="F19" s="131" t="str">
        <f>F10</f>
        <v>NMHC/NMVOC</v>
      </c>
      <c r="G19" s="131" t="str">
        <f t="shared" ref="G19:H19" si="0">G10</f>
        <v>NOx</v>
      </c>
      <c r="H19" s="131" t="str">
        <f t="shared" si="0"/>
        <v>PM</v>
      </c>
    </row>
    <row r="20" spans="1:10">
      <c r="A20" s="178" t="s">
        <v>80</v>
      </c>
      <c r="B20" s="178" t="s">
        <v>269</v>
      </c>
      <c r="C20" s="178" t="s">
        <v>238</v>
      </c>
      <c r="D20" s="581">
        <f>719*(1+'Zmiany klimatu (GHG) samochody'!V180)</f>
        <v>662.90204904313487</v>
      </c>
      <c r="E20" s="444">
        <v>0.51100000000000001</v>
      </c>
      <c r="F20" s="444">
        <f>1.4*($B$24*$B$25)/($B$23*1000)</f>
        <v>5.0400000000000002E-3</v>
      </c>
      <c r="G20" s="444">
        <v>0.57599999999999996</v>
      </c>
      <c r="H20" s="444">
        <v>2.9000000000000001E-2</v>
      </c>
      <c r="I20" s="178" t="s">
        <v>528</v>
      </c>
    </row>
    <row r="21" spans="1:10" hidden="1" outlineLevel="1"/>
    <row r="22" spans="1:10" hidden="1" outlineLevel="1">
      <c r="A22" s="572" t="s">
        <v>48</v>
      </c>
      <c r="B22" s="147">
        <f>B23/(B24*B25)</f>
        <v>0.27777777777777779</v>
      </c>
    </row>
    <row r="23" spans="1:10" hidden="1" outlineLevel="1">
      <c r="B23" s="102">
        <f>10^6</f>
        <v>1000000</v>
      </c>
      <c r="C23" s="572" t="s">
        <v>51</v>
      </c>
    </row>
    <row r="24" spans="1:10" hidden="1" outlineLevel="1">
      <c r="B24" s="102">
        <f>10^3</f>
        <v>1000</v>
      </c>
      <c r="C24" s="572" t="s">
        <v>52</v>
      </c>
    </row>
    <row r="25" spans="1:10" hidden="1" outlineLevel="1">
      <c r="B25" s="102">
        <f>(60*60)</f>
        <v>3600</v>
      </c>
      <c r="C25" s="572" t="s">
        <v>53</v>
      </c>
    </row>
    <row r="26" spans="1:10" ht="15" customHeight="1" collapsed="1"/>
    <row r="27" spans="1:10">
      <c r="A27" s="131" t="s">
        <v>633</v>
      </c>
      <c r="B27" s="131" t="str">
        <f>Założenia!D18</f>
        <v>NIE</v>
      </c>
    </row>
    <row r="28" spans="1:10">
      <c r="A28" s="1"/>
    </row>
    <row r="29" spans="1:10">
      <c r="A29" s="572" t="s">
        <v>250</v>
      </c>
      <c r="C29" s="624">
        <v>36</v>
      </c>
      <c r="D29" s="572" t="s">
        <v>251</v>
      </c>
      <c r="E29" s="426" t="s">
        <v>252</v>
      </c>
    </row>
    <row r="30" spans="1:10">
      <c r="A30" s="572" t="s">
        <v>253</v>
      </c>
      <c r="B30" s="14" t="s">
        <v>254</v>
      </c>
      <c r="C30" s="572">
        <f>1/$B$22</f>
        <v>3.5999999999999996</v>
      </c>
      <c r="D30" s="572" t="s">
        <v>255</v>
      </c>
      <c r="E30" s="427"/>
    </row>
    <row r="31" spans="1:10">
      <c r="A31" s="572" t="s">
        <v>250</v>
      </c>
      <c r="C31" s="428">
        <f>C29/C30</f>
        <v>10.000000000000002</v>
      </c>
      <c r="D31" s="572" t="s">
        <v>256</v>
      </c>
    </row>
    <row r="32" spans="1:10">
      <c r="A32" s="572" t="s">
        <v>257</v>
      </c>
      <c r="C32" s="542"/>
      <c r="D32" s="572" t="s">
        <v>258</v>
      </c>
    </row>
    <row r="33" spans="1:13">
      <c r="A33" s="178"/>
      <c r="B33" s="572" t="s">
        <v>259</v>
      </c>
      <c r="C33" s="572">
        <v>100</v>
      </c>
      <c r="D33" s="572" t="s">
        <v>159</v>
      </c>
    </row>
    <row r="34" spans="1:13">
      <c r="A34" s="178"/>
      <c r="B34" s="572" t="s">
        <v>260</v>
      </c>
      <c r="C34" s="572">
        <f>C32*C31/C33</f>
        <v>0</v>
      </c>
      <c r="D34" s="572" t="s">
        <v>260</v>
      </c>
    </row>
    <row r="35" spans="1:13">
      <c r="A35" s="178"/>
      <c r="M35" s="207"/>
    </row>
    <row r="36" spans="1:13">
      <c r="A36" s="178"/>
      <c r="E36" s="1"/>
      <c r="F36" s="131" t="str">
        <f>F10</f>
        <v>NMHC/NMVOC</v>
      </c>
      <c r="G36" s="131" t="str">
        <f>G10</f>
        <v>NOx</v>
      </c>
      <c r="H36" s="131" t="str">
        <f>H10</f>
        <v>PM</v>
      </c>
    </row>
    <row r="37" spans="1:13">
      <c r="A37" s="178" t="s">
        <v>261</v>
      </c>
      <c r="B37" s="571" t="s">
        <v>247</v>
      </c>
      <c r="E37" s="572" t="s">
        <v>262</v>
      </c>
      <c r="F37" s="429">
        <f>VLOOKUP($B$37,$A$11:$H$17,6,FALSE)*$C$34</f>
        <v>0</v>
      </c>
      <c r="G37" s="429">
        <f>VLOOKUP($B$37,$A$11:$H$17,7,FALSE)*$C$34</f>
        <v>0</v>
      </c>
      <c r="H37" s="429">
        <f>VLOOKUP($B$37,$A$11:$H$17,8,FALSE)*$C$34</f>
        <v>0</v>
      </c>
    </row>
    <row r="38" spans="1:13">
      <c r="A38" s="178"/>
    </row>
    <row r="39" spans="1:13" ht="18">
      <c r="A39" s="178" t="s">
        <v>296</v>
      </c>
      <c r="B39" s="437">
        <v>3.169</v>
      </c>
      <c r="C39" s="178" t="s">
        <v>529</v>
      </c>
      <c r="D39" s="178"/>
    </row>
    <row r="40" spans="1:13">
      <c r="A40" s="178" t="s">
        <v>297</v>
      </c>
      <c r="B40" s="437">
        <v>840</v>
      </c>
      <c r="C40" s="178" t="s">
        <v>530</v>
      </c>
      <c r="D40" s="178"/>
    </row>
    <row r="41" spans="1:13" ht="18">
      <c r="A41" s="178" t="s">
        <v>298</v>
      </c>
      <c r="B41" s="437">
        <f>B39*(B40/B42)</f>
        <v>2.6619600000000001</v>
      </c>
      <c r="C41" s="178"/>
      <c r="D41" s="178"/>
    </row>
    <row r="42" spans="1:13">
      <c r="A42" s="178"/>
      <c r="B42" s="438">
        <f>10^3</f>
        <v>1000</v>
      </c>
      <c r="C42" s="178" t="s">
        <v>270</v>
      </c>
      <c r="D42" s="178"/>
    </row>
    <row r="43" spans="1:13" ht="18" hidden="1" outlineLevel="1">
      <c r="A43" s="441" t="s">
        <v>284</v>
      </c>
      <c r="B43" s="439">
        <v>2.7</v>
      </c>
      <c r="C43" s="440" t="s">
        <v>531</v>
      </c>
      <c r="D43" s="178"/>
    </row>
    <row r="44" spans="1:13" ht="18" collapsed="1">
      <c r="A44" s="178" t="s">
        <v>291</v>
      </c>
      <c r="B44" s="429">
        <f>B41*C32/C33</f>
        <v>0</v>
      </c>
    </row>
    <row r="45" spans="1:13" s="178" customFormat="1">
      <c r="B45" s="455"/>
    </row>
    <row r="46" spans="1:13" s="178" customFormat="1">
      <c r="A46" s="131" t="s">
        <v>634</v>
      </c>
      <c r="B46" s="131" t="str">
        <f>Założenia!E18</f>
        <v>NIE</v>
      </c>
    </row>
    <row r="47" spans="1:13" s="178" customFormat="1">
      <c r="B47" s="455"/>
    </row>
    <row r="48" spans="1:13" s="178" customFormat="1">
      <c r="A48" s="585" t="s">
        <v>250</v>
      </c>
      <c r="B48" s="585"/>
      <c r="C48" s="624">
        <v>36</v>
      </c>
      <c r="D48" s="585" t="s">
        <v>251</v>
      </c>
      <c r="E48" s="426" t="s">
        <v>252</v>
      </c>
    </row>
    <row r="49" spans="1:8" s="178" customFormat="1">
      <c r="A49" s="585" t="s">
        <v>253</v>
      </c>
      <c r="B49" s="14" t="s">
        <v>254</v>
      </c>
      <c r="C49" s="178">
        <f>1/$B$22</f>
        <v>3.5999999999999996</v>
      </c>
      <c r="D49" s="585" t="s">
        <v>255</v>
      </c>
    </row>
    <row r="50" spans="1:8" s="178" customFormat="1">
      <c r="A50" s="585" t="s">
        <v>250</v>
      </c>
      <c r="B50" s="585"/>
      <c r="C50" s="178">
        <f>C48/C49</f>
        <v>10.000000000000002</v>
      </c>
      <c r="D50" s="585" t="s">
        <v>256</v>
      </c>
    </row>
    <row r="51" spans="1:8" s="178" customFormat="1">
      <c r="A51" s="585" t="s">
        <v>257</v>
      </c>
      <c r="B51" s="585"/>
      <c r="C51" s="584"/>
      <c r="D51" s="585" t="s">
        <v>258</v>
      </c>
    </row>
    <row r="52" spans="1:8" s="178" customFormat="1">
      <c r="B52" s="585" t="s">
        <v>259</v>
      </c>
      <c r="C52" s="178">
        <v>100</v>
      </c>
      <c r="D52" s="585" t="s">
        <v>159</v>
      </c>
    </row>
    <row r="53" spans="1:8" s="178" customFormat="1">
      <c r="B53" s="585" t="s">
        <v>260</v>
      </c>
      <c r="C53" s="178">
        <f>C51*C50/C52</f>
        <v>0</v>
      </c>
      <c r="D53" s="585" t="s">
        <v>260</v>
      </c>
    </row>
    <row r="54" spans="1:8" s="178" customFormat="1">
      <c r="B54" s="585"/>
    </row>
    <row r="55" spans="1:8" s="178" customFormat="1">
      <c r="B55" s="585"/>
      <c r="F55" s="131" t="str">
        <f>F36</f>
        <v>NMHC/NMVOC</v>
      </c>
      <c r="G55" s="131" t="str">
        <f t="shared" ref="G55:H55" si="1">G36</f>
        <v>NOx</v>
      </c>
      <c r="H55" s="131" t="str">
        <f t="shared" si="1"/>
        <v>PM</v>
      </c>
    </row>
    <row r="56" spans="1:8" s="178" customFormat="1">
      <c r="A56" s="178" t="s">
        <v>261</v>
      </c>
      <c r="B56" s="584" t="s">
        <v>247</v>
      </c>
      <c r="E56" s="585" t="s">
        <v>262</v>
      </c>
      <c r="F56" s="429">
        <f>VLOOKUP($B$56,$A$11:$H$17,6,FALSE)*$C$53</f>
        <v>0</v>
      </c>
      <c r="G56" s="429">
        <f>VLOOKUP($B$56,$A$11:$H$17,7,FALSE)*$C$53</f>
        <v>0</v>
      </c>
      <c r="H56" s="429">
        <f>VLOOKUP($B$56,$A$11:$H$17,8,FALSE)*$C$53</f>
        <v>0</v>
      </c>
    </row>
    <row r="57" spans="1:8" s="178" customFormat="1">
      <c r="B57" s="455"/>
    </row>
    <row r="58" spans="1:8" s="178" customFormat="1" ht="18">
      <c r="A58" s="178" t="s">
        <v>296</v>
      </c>
      <c r="B58" s="437">
        <v>3.169</v>
      </c>
      <c r="C58" s="178" t="s">
        <v>529</v>
      </c>
    </row>
    <row r="59" spans="1:8" s="178" customFormat="1">
      <c r="A59" s="178" t="s">
        <v>297</v>
      </c>
      <c r="B59" s="437">
        <v>840</v>
      </c>
      <c r="C59" s="178" t="s">
        <v>530</v>
      </c>
    </row>
    <row r="60" spans="1:8" s="178" customFormat="1" ht="18">
      <c r="A60" s="178" t="s">
        <v>298</v>
      </c>
      <c r="B60" s="437">
        <f>B58*(B59/B61)</f>
        <v>2.6619600000000001</v>
      </c>
    </row>
    <row r="61" spans="1:8" s="178" customFormat="1">
      <c r="B61" s="438">
        <f>10^3</f>
        <v>1000</v>
      </c>
      <c r="C61" s="178" t="s">
        <v>270</v>
      </c>
    </row>
    <row r="62" spans="1:8" s="585" customFormat="1" ht="18" hidden="1" outlineLevel="1">
      <c r="A62" s="441" t="s">
        <v>284</v>
      </c>
      <c r="B62" s="439">
        <v>2.7</v>
      </c>
      <c r="C62" s="440" t="s">
        <v>531</v>
      </c>
    </row>
    <row r="63" spans="1:8" ht="18" collapsed="1">
      <c r="A63" s="178" t="s">
        <v>291</v>
      </c>
      <c r="B63" s="429">
        <f>B60*C51/C52</f>
        <v>0</v>
      </c>
    </row>
    <row r="64" spans="1:8" s="585" customFormat="1">
      <c r="A64" s="178"/>
      <c r="B64" s="455"/>
    </row>
    <row r="65" spans="1:8" s="585" customFormat="1">
      <c r="A65" s="131" t="s">
        <v>635</v>
      </c>
      <c r="B65" s="131" t="str">
        <f>Założenia!F18</f>
        <v>NIE</v>
      </c>
    </row>
    <row r="66" spans="1:8" s="585" customFormat="1">
      <c r="A66" s="178"/>
      <c r="B66" s="455"/>
    </row>
    <row r="67" spans="1:8" s="585" customFormat="1">
      <c r="A67" s="585" t="s">
        <v>250</v>
      </c>
      <c r="C67" s="624">
        <v>36</v>
      </c>
      <c r="D67" s="585" t="s">
        <v>251</v>
      </c>
      <c r="E67" s="426" t="s">
        <v>252</v>
      </c>
    </row>
    <row r="68" spans="1:8" s="585" customFormat="1">
      <c r="A68" s="585" t="s">
        <v>253</v>
      </c>
      <c r="B68" s="14" t="s">
        <v>254</v>
      </c>
      <c r="C68" s="585">
        <f>1/$B$22</f>
        <v>3.5999999999999996</v>
      </c>
      <c r="D68" s="585" t="s">
        <v>255</v>
      </c>
      <c r="E68" s="178"/>
    </row>
    <row r="69" spans="1:8" s="585" customFormat="1">
      <c r="A69" s="585" t="s">
        <v>250</v>
      </c>
      <c r="C69" s="585">
        <f>C67/C68</f>
        <v>10.000000000000002</v>
      </c>
      <c r="D69" s="585" t="s">
        <v>256</v>
      </c>
      <c r="E69" s="178"/>
    </row>
    <row r="70" spans="1:8" s="585" customFormat="1">
      <c r="A70" s="585" t="s">
        <v>257</v>
      </c>
      <c r="C70" s="584"/>
      <c r="D70" s="585" t="s">
        <v>258</v>
      </c>
      <c r="E70" s="178"/>
    </row>
    <row r="71" spans="1:8" s="585" customFormat="1">
      <c r="A71" s="178"/>
      <c r="B71" s="585" t="s">
        <v>259</v>
      </c>
      <c r="C71" s="585">
        <v>100</v>
      </c>
      <c r="D71" s="585" t="s">
        <v>159</v>
      </c>
      <c r="E71" s="178"/>
    </row>
    <row r="72" spans="1:8" s="585" customFormat="1">
      <c r="A72" s="178"/>
      <c r="B72" s="585" t="s">
        <v>260</v>
      </c>
      <c r="C72" s="585">
        <f>C70*C69/C71</f>
        <v>0</v>
      </c>
      <c r="D72" s="585" t="s">
        <v>260</v>
      </c>
      <c r="E72" s="178"/>
    </row>
    <row r="73" spans="1:8" s="585" customFormat="1">
      <c r="A73" s="178"/>
    </row>
    <row r="74" spans="1:8" s="585" customFormat="1">
      <c r="A74" s="178"/>
      <c r="E74" s="178"/>
      <c r="F74" s="131" t="str">
        <f>F55</f>
        <v>NMHC/NMVOC</v>
      </c>
      <c r="G74" s="131" t="str">
        <f t="shared" ref="G74:H74" si="2">G55</f>
        <v>NOx</v>
      </c>
      <c r="H74" s="131" t="str">
        <f t="shared" si="2"/>
        <v>PM</v>
      </c>
    </row>
    <row r="75" spans="1:8" s="585" customFormat="1">
      <c r="A75" s="178" t="s">
        <v>261</v>
      </c>
      <c r="B75" s="584" t="s">
        <v>247</v>
      </c>
      <c r="E75" s="585" t="s">
        <v>262</v>
      </c>
      <c r="F75" s="429">
        <f>VLOOKUP($B$75,$A$11:$H$17,6,FALSE)*$C$72</f>
        <v>0</v>
      </c>
      <c r="G75" s="429">
        <f>VLOOKUP($B$75,$A$11:$H$17,7,FALSE)*$C$72</f>
        <v>0</v>
      </c>
      <c r="H75" s="429">
        <f>VLOOKUP($B$75,$A$11:$H$17,8,FALSE)*$C$72</f>
        <v>0</v>
      </c>
    </row>
    <row r="76" spans="1:8" s="585" customFormat="1">
      <c r="A76" s="178"/>
      <c r="B76" s="455"/>
    </row>
    <row r="77" spans="1:8" s="585" customFormat="1" ht="18">
      <c r="A77" s="178" t="s">
        <v>296</v>
      </c>
      <c r="B77" s="437">
        <v>3.169</v>
      </c>
      <c r="C77" s="178" t="s">
        <v>529</v>
      </c>
    </row>
    <row r="78" spans="1:8" s="585" customFormat="1">
      <c r="A78" s="178" t="s">
        <v>297</v>
      </c>
      <c r="B78" s="437">
        <v>840</v>
      </c>
      <c r="C78" s="178" t="s">
        <v>530</v>
      </c>
    </row>
    <row r="79" spans="1:8" s="585" customFormat="1" ht="18">
      <c r="A79" s="178" t="s">
        <v>298</v>
      </c>
      <c r="B79" s="437">
        <f>B77*(B78/B80)</f>
        <v>2.6619600000000001</v>
      </c>
      <c r="C79" s="178"/>
    </row>
    <row r="80" spans="1:8" s="585" customFormat="1">
      <c r="A80" s="178"/>
      <c r="B80" s="438">
        <f>10^3</f>
        <v>1000</v>
      </c>
      <c r="C80" s="178" t="s">
        <v>270</v>
      </c>
    </row>
    <row r="81" spans="1:8" s="585" customFormat="1" ht="18" hidden="1" outlineLevel="1">
      <c r="A81" s="441" t="s">
        <v>284</v>
      </c>
      <c r="B81" s="439">
        <v>2.7</v>
      </c>
      <c r="C81" s="440" t="s">
        <v>531</v>
      </c>
    </row>
    <row r="82" spans="1:8" s="585" customFormat="1" ht="18" collapsed="1">
      <c r="A82" s="178" t="s">
        <v>291</v>
      </c>
      <c r="B82" s="429">
        <f>B79*C70/C71</f>
        <v>0</v>
      </c>
    </row>
    <row r="83" spans="1:8" s="585" customFormat="1">
      <c r="A83" s="178"/>
    </row>
    <row r="84" spans="1:8">
      <c r="A84" s="131" t="s">
        <v>636</v>
      </c>
      <c r="B84" s="131" t="str">
        <f>Założenia!D20</f>
        <v>TAK</v>
      </c>
    </row>
    <row r="85" spans="1:8">
      <c r="A85" s="1"/>
    </row>
    <row r="86" spans="1:8" ht="17.25">
      <c r="A86" s="572" t="s">
        <v>264</v>
      </c>
      <c r="C86" s="624">
        <v>33</v>
      </c>
      <c r="D86" s="572" t="s">
        <v>285</v>
      </c>
      <c r="E86" s="426" t="s">
        <v>252</v>
      </c>
    </row>
    <row r="87" spans="1:8">
      <c r="A87" s="572" t="s">
        <v>253</v>
      </c>
      <c r="B87" s="14" t="s">
        <v>254</v>
      </c>
      <c r="C87" s="572">
        <f>1/$B$22</f>
        <v>3.5999999999999996</v>
      </c>
      <c r="D87" s="572" t="s">
        <v>255</v>
      </c>
    </row>
    <row r="88" spans="1:8" ht="17.25">
      <c r="A88" s="572" t="s">
        <v>264</v>
      </c>
      <c r="C88" s="428">
        <f>C86/C87</f>
        <v>9.1666666666666679</v>
      </c>
      <c r="D88" s="572" t="s">
        <v>286</v>
      </c>
    </row>
    <row r="89" spans="1:8">
      <c r="A89" s="572" t="s">
        <v>257</v>
      </c>
      <c r="C89" s="571">
        <v>60</v>
      </c>
      <c r="D89" s="572" t="s">
        <v>265</v>
      </c>
    </row>
    <row r="90" spans="1:8">
      <c r="B90" s="572" t="s">
        <v>259</v>
      </c>
      <c r="C90" s="572">
        <v>100</v>
      </c>
      <c r="D90" s="572" t="s">
        <v>159</v>
      </c>
    </row>
    <row r="91" spans="1:8">
      <c r="B91" s="572" t="s">
        <v>260</v>
      </c>
      <c r="C91" s="133">
        <f>C88*C89/C90</f>
        <v>5.5000000000000009</v>
      </c>
      <c r="D91" s="572" t="s">
        <v>260</v>
      </c>
    </row>
    <row r="92" spans="1:8" ht="15" customHeight="1"/>
    <row r="93" spans="1:8">
      <c r="E93" s="1"/>
      <c r="F93" s="131" t="str">
        <f>F10</f>
        <v>NMHC/NMVOC</v>
      </c>
      <c r="G93" s="131" t="str">
        <f t="shared" ref="G93:H93" si="3">G10</f>
        <v>NOx</v>
      </c>
      <c r="H93" s="131" t="str">
        <f t="shared" si="3"/>
        <v>PM</v>
      </c>
    </row>
    <row r="94" spans="1:8">
      <c r="A94" s="572" t="s">
        <v>261</v>
      </c>
      <c r="B94" s="571" t="s">
        <v>247</v>
      </c>
      <c r="E94" s="572" t="s">
        <v>262</v>
      </c>
      <c r="F94" s="429">
        <f>VLOOKUP($B$94,$A$11:$H$17,6,FALSE)*$C$91</f>
        <v>0.71500000000000019</v>
      </c>
      <c r="G94" s="429">
        <f>VLOOKUP($B$94,$A$11:$H$17,7,FALSE)*$C$91</f>
        <v>2.2000000000000006</v>
      </c>
      <c r="H94" s="430">
        <f>VLOOKUP($B$94,$A$11:$H$17,8,FALSE)*$C$91</f>
        <v>5.5000000000000007E-2</v>
      </c>
    </row>
    <row r="95" spans="1:8" ht="18" hidden="1" outlineLevel="1">
      <c r="A95" s="441" t="s">
        <v>288</v>
      </c>
      <c r="B95" s="439">
        <v>2.7429999999999999</v>
      </c>
      <c r="C95" s="440" t="s">
        <v>529</v>
      </c>
    </row>
    <row r="96" spans="1:8" hidden="1" outlineLevel="1">
      <c r="A96" s="441" t="s">
        <v>268</v>
      </c>
      <c r="B96" s="439">
        <v>175</v>
      </c>
      <c r="C96" s="440" t="s">
        <v>530</v>
      </c>
    </row>
    <row r="97" spans="1:8" ht="18" hidden="1" outlineLevel="1">
      <c r="A97" s="441" t="s">
        <v>289</v>
      </c>
      <c r="B97" s="439">
        <f>B95*(B96/B99)</f>
        <v>0.48002499999999992</v>
      </c>
      <c r="C97" s="440"/>
    </row>
    <row r="98" spans="1:8" ht="18.75" hidden="1" outlineLevel="1">
      <c r="A98" s="441" t="s">
        <v>290</v>
      </c>
      <c r="B98" s="439">
        <f>B97*B100</f>
        <v>480.02499999999992</v>
      </c>
      <c r="C98" s="440"/>
    </row>
    <row r="99" spans="1:8" collapsed="1">
      <c r="A99" s="178"/>
      <c r="B99" s="438">
        <f>10^3</f>
        <v>1000</v>
      </c>
      <c r="C99" s="178" t="s">
        <v>270</v>
      </c>
    </row>
    <row r="100" spans="1:8" ht="17.25">
      <c r="A100" s="178"/>
      <c r="B100" s="438">
        <f>10^3</f>
        <v>1000</v>
      </c>
      <c r="C100" s="178" t="s">
        <v>287</v>
      </c>
    </row>
    <row r="101" spans="1:8" ht="18.75">
      <c r="A101" s="442" t="s">
        <v>299</v>
      </c>
      <c r="B101" s="443">
        <v>1.9</v>
      </c>
      <c r="C101" s="347" t="s">
        <v>531</v>
      </c>
      <c r="E101" s="431"/>
      <c r="F101" s="431"/>
      <c r="G101" s="431"/>
      <c r="H101" s="432"/>
    </row>
    <row r="102" spans="1:8" ht="18">
      <c r="A102" s="572" t="s">
        <v>291</v>
      </c>
      <c r="B102" s="429">
        <f>B101*C89/C90</f>
        <v>1.1399999999999999</v>
      </c>
      <c r="E102" s="431"/>
      <c r="F102" s="431"/>
      <c r="G102" s="431"/>
      <c r="H102" s="432"/>
    </row>
    <row r="103" spans="1:8">
      <c r="E103" s="431"/>
      <c r="F103" s="431"/>
      <c r="G103" s="431"/>
      <c r="H103" s="432"/>
    </row>
    <row r="104" spans="1:8" s="585" customFormat="1">
      <c r="A104" s="131" t="s">
        <v>637</v>
      </c>
      <c r="B104" s="594" t="str">
        <f>Założenia!E20</f>
        <v>NIE</v>
      </c>
      <c r="E104" s="431"/>
      <c r="F104" s="431"/>
      <c r="G104" s="431"/>
      <c r="H104" s="432"/>
    </row>
    <row r="105" spans="1:8" s="585" customFormat="1">
      <c r="E105" s="431"/>
      <c r="F105" s="431"/>
      <c r="G105" s="431"/>
      <c r="H105" s="432"/>
    </row>
    <row r="106" spans="1:8" s="585" customFormat="1" ht="17.25">
      <c r="A106" s="585" t="s">
        <v>264</v>
      </c>
      <c r="C106" s="624">
        <v>33</v>
      </c>
      <c r="D106" s="585" t="s">
        <v>285</v>
      </c>
      <c r="E106" s="426" t="s">
        <v>252</v>
      </c>
      <c r="F106" s="431"/>
      <c r="G106" s="431"/>
      <c r="H106" s="432"/>
    </row>
    <row r="107" spans="1:8" s="585" customFormat="1">
      <c r="A107" s="585" t="s">
        <v>253</v>
      </c>
      <c r="B107" s="14" t="s">
        <v>254</v>
      </c>
      <c r="C107" s="585">
        <f>1/$B$22</f>
        <v>3.5999999999999996</v>
      </c>
      <c r="D107" s="585" t="s">
        <v>255</v>
      </c>
      <c r="F107" s="431"/>
      <c r="G107" s="431"/>
      <c r="H107" s="432"/>
    </row>
    <row r="108" spans="1:8" s="585" customFormat="1" ht="17.25">
      <c r="A108" s="585" t="s">
        <v>264</v>
      </c>
      <c r="C108" s="428">
        <f>C106/C107</f>
        <v>9.1666666666666679</v>
      </c>
      <c r="D108" s="585" t="s">
        <v>286</v>
      </c>
      <c r="F108" s="431"/>
      <c r="G108" s="431"/>
      <c r="H108" s="432"/>
    </row>
    <row r="109" spans="1:8" s="585" customFormat="1">
      <c r="A109" s="585" t="s">
        <v>257</v>
      </c>
      <c r="C109" s="584"/>
      <c r="D109" s="585" t="s">
        <v>265</v>
      </c>
      <c r="F109" s="431"/>
      <c r="G109" s="431"/>
      <c r="H109" s="432"/>
    </row>
    <row r="110" spans="1:8" s="585" customFormat="1">
      <c r="B110" s="585" t="s">
        <v>259</v>
      </c>
      <c r="C110" s="585">
        <v>100</v>
      </c>
      <c r="D110" s="585" t="s">
        <v>159</v>
      </c>
      <c r="F110" s="431"/>
      <c r="G110" s="431"/>
      <c r="H110" s="432"/>
    </row>
    <row r="111" spans="1:8" s="585" customFormat="1">
      <c r="B111" s="585" t="s">
        <v>260</v>
      </c>
      <c r="C111" s="133">
        <f>C108*C109/C110</f>
        <v>0</v>
      </c>
      <c r="D111" s="585" t="s">
        <v>260</v>
      </c>
      <c r="F111" s="431"/>
      <c r="G111" s="431"/>
      <c r="H111" s="432"/>
    </row>
    <row r="112" spans="1:8" s="585" customFormat="1">
      <c r="F112" s="431"/>
      <c r="G112" s="431"/>
      <c r="H112" s="432"/>
    </row>
    <row r="113" spans="1:8" s="585" customFormat="1">
      <c r="E113" s="1"/>
      <c r="F113" s="131" t="str">
        <f>F93</f>
        <v>NMHC/NMVOC</v>
      </c>
      <c r="G113" s="131" t="str">
        <f t="shared" ref="G113:H113" si="4">G93</f>
        <v>NOx</v>
      </c>
      <c r="H113" s="131" t="str">
        <f t="shared" si="4"/>
        <v>PM</v>
      </c>
    </row>
    <row r="114" spans="1:8" s="585" customFormat="1">
      <c r="A114" s="585" t="s">
        <v>261</v>
      </c>
      <c r="B114" s="584" t="s">
        <v>247</v>
      </c>
      <c r="E114" s="585" t="s">
        <v>262</v>
      </c>
      <c r="F114" s="429">
        <f>VLOOKUP($B$114,$A$11:$H$17,6,FALSE)*$C$111</f>
        <v>0</v>
      </c>
      <c r="G114" s="429">
        <f>VLOOKUP($B$114,$A$11:$H$17,7,FALSE)*$C$111</f>
        <v>0</v>
      </c>
      <c r="H114" s="429">
        <f>VLOOKUP($B$114,$A$11:$H$17,8,FALSE)*$C$111</f>
        <v>0</v>
      </c>
    </row>
    <row r="115" spans="1:8" s="585" customFormat="1" ht="18" hidden="1" outlineLevel="1">
      <c r="A115" s="441" t="s">
        <v>288</v>
      </c>
      <c r="B115" s="439">
        <v>2.7429999999999999</v>
      </c>
      <c r="C115" s="440" t="s">
        <v>529</v>
      </c>
      <c r="E115" s="431"/>
      <c r="F115" s="431"/>
      <c r="G115" s="431"/>
      <c r="H115" s="432"/>
    </row>
    <row r="116" spans="1:8" s="585" customFormat="1" hidden="1" outlineLevel="1">
      <c r="A116" s="441" t="s">
        <v>268</v>
      </c>
      <c r="B116" s="439">
        <v>175</v>
      </c>
      <c r="C116" s="440" t="s">
        <v>530</v>
      </c>
      <c r="E116" s="431"/>
      <c r="F116" s="431"/>
      <c r="G116" s="431"/>
      <c r="H116" s="432"/>
    </row>
    <row r="117" spans="1:8" s="585" customFormat="1" ht="18" hidden="1" outlineLevel="1">
      <c r="A117" s="441" t="s">
        <v>289</v>
      </c>
      <c r="B117" s="439">
        <f>B115*(B116/B119)</f>
        <v>0.48002499999999992</v>
      </c>
      <c r="C117" s="440"/>
      <c r="E117" s="431"/>
      <c r="F117" s="431"/>
      <c r="G117" s="431"/>
      <c r="H117" s="432"/>
    </row>
    <row r="118" spans="1:8" s="585" customFormat="1" ht="18.75" hidden="1" outlineLevel="1">
      <c r="A118" s="441" t="s">
        <v>290</v>
      </c>
      <c r="B118" s="439">
        <f>B117*B120</f>
        <v>480.02499999999992</v>
      </c>
      <c r="C118" s="440"/>
      <c r="E118" s="431"/>
      <c r="F118" s="431"/>
      <c r="G118" s="431"/>
      <c r="H118" s="432"/>
    </row>
    <row r="119" spans="1:8" s="585" customFormat="1" collapsed="1">
      <c r="A119" s="178"/>
      <c r="B119" s="438">
        <f>10^3</f>
        <v>1000</v>
      </c>
      <c r="C119" s="178" t="s">
        <v>270</v>
      </c>
      <c r="E119" s="431"/>
      <c r="F119" s="431"/>
      <c r="G119" s="431"/>
      <c r="H119" s="432"/>
    </row>
    <row r="120" spans="1:8" s="585" customFormat="1" ht="17.25">
      <c r="A120" s="178"/>
      <c r="B120" s="438">
        <f>10^3</f>
        <v>1000</v>
      </c>
      <c r="C120" s="178" t="s">
        <v>287</v>
      </c>
      <c r="E120" s="431"/>
      <c r="F120" s="431"/>
      <c r="G120" s="431"/>
      <c r="H120" s="432"/>
    </row>
    <row r="121" spans="1:8" s="585" customFormat="1" ht="18.75">
      <c r="A121" s="442" t="s">
        <v>299</v>
      </c>
      <c r="B121" s="443">
        <v>1.9</v>
      </c>
      <c r="C121" s="347" t="s">
        <v>531</v>
      </c>
      <c r="E121" s="431"/>
      <c r="F121" s="431"/>
      <c r="G121" s="431"/>
      <c r="H121" s="432"/>
    </row>
    <row r="122" spans="1:8" s="585" customFormat="1" ht="18">
      <c r="A122" s="585" t="s">
        <v>291</v>
      </c>
      <c r="B122" s="429">
        <f>B121*C109/C110</f>
        <v>0</v>
      </c>
      <c r="E122" s="431"/>
      <c r="F122" s="431"/>
      <c r="G122" s="431"/>
      <c r="H122" s="432"/>
    </row>
    <row r="123" spans="1:8" s="585" customFormat="1">
      <c r="E123" s="431"/>
      <c r="F123" s="431"/>
      <c r="G123" s="431"/>
      <c r="H123" s="432"/>
    </row>
    <row r="124" spans="1:8" s="585" customFormat="1">
      <c r="A124" s="131" t="s">
        <v>639</v>
      </c>
      <c r="B124" s="594" t="str">
        <f>Założenia!F20</f>
        <v>NIE</v>
      </c>
      <c r="E124" s="431"/>
      <c r="F124" s="431"/>
      <c r="G124" s="431"/>
      <c r="H124" s="432"/>
    </row>
    <row r="125" spans="1:8" s="585" customFormat="1">
      <c r="E125" s="431"/>
      <c r="F125" s="431"/>
      <c r="G125" s="431"/>
      <c r="H125" s="432"/>
    </row>
    <row r="126" spans="1:8" s="585" customFormat="1" ht="17.25">
      <c r="A126" s="585" t="s">
        <v>264</v>
      </c>
      <c r="C126" s="624">
        <v>33</v>
      </c>
      <c r="D126" s="585" t="s">
        <v>285</v>
      </c>
      <c r="E126" s="426" t="s">
        <v>252</v>
      </c>
      <c r="F126" s="431"/>
      <c r="G126" s="431"/>
      <c r="H126" s="432"/>
    </row>
    <row r="127" spans="1:8" s="585" customFormat="1">
      <c r="A127" s="585" t="s">
        <v>253</v>
      </c>
      <c r="B127" s="14" t="s">
        <v>254</v>
      </c>
      <c r="C127" s="585">
        <f>1/$B$22</f>
        <v>3.5999999999999996</v>
      </c>
      <c r="D127" s="585" t="s">
        <v>255</v>
      </c>
      <c r="F127" s="431"/>
      <c r="G127" s="431"/>
      <c r="H127" s="432"/>
    </row>
    <row r="128" spans="1:8" s="585" customFormat="1" ht="17.25">
      <c r="A128" s="585" t="s">
        <v>264</v>
      </c>
      <c r="C128" s="428">
        <f>C126/C127</f>
        <v>9.1666666666666679</v>
      </c>
      <c r="D128" s="585" t="s">
        <v>286</v>
      </c>
      <c r="F128" s="431"/>
      <c r="G128" s="431"/>
      <c r="H128" s="432"/>
    </row>
    <row r="129" spans="1:8" s="585" customFormat="1">
      <c r="A129" s="585" t="s">
        <v>257</v>
      </c>
      <c r="C129" s="584"/>
      <c r="D129" s="585" t="s">
        <v>265</v>
      </c>
      <c r="F129" s="431"/>
      <c r="G129" s="431"/>
      <c r="H129" s="432"/>
    </row>
    <row r="130" spans="1:8" s="585" customFormat="1">
      <c r="B130" s="585" t="s">
        <v>259</v>
      </c>
      <c r="C130" s="585">
        <v>100</v>
      </c>
      <c r="D130" s="585" t="s">
        <v>159</v>
      </c>
      <c r="F130" s="431"/>
      <c r="G130" s="431"/>
      <c r="H130" s="432"/>
    </row>
    <row r="131" spans="1:8" s="585" customFormat="1">
      <c r="B131" s="585" t="s">
        <v>260</v>
      </c>
      <c r="C131" s="133">
        <f>C128*C129/C130</f>
        <v>0</v>
      </c>
      <c r="D131" s="585" t="s">
        <v>260</v>
      </c>
      <c r="F131" s="431"/>
      <c r="G131" s="431"/>
      <c r="H131" s="432"/>
    </row>
    <row r="132" spans="1:8" s="585" customFormat="1">
      <c r="F132" s="431"/>
      <c r="G132" s="431"/>
      <c r="H132" s="432"/>
    </row>
    <row r="133" spans="1:8" s="585" customFormat="1">
      <c r="E133" s="1"/>
      <c r="F133" s="131" t="str">
        <f>F113</f>
        <v>NMHC/NMVOC</v>
      </c>
      <c r="G133" s="131" t="str">
        <f t="shared" ref="G133:H133" si="5">G113</f>
        <v>NOx</v>
      </c>
      <c r="H133" s="131" t="str">
        <f t="shared" si="5"/>
        <v>PM</v>
      </c>
    </row>
    <row r="134" spans="1:8" s="585" customFormat="1">
      <c r="A134" s="585" t="s">
        <v>261</v>
      </c>
      <c r="B134" s="584" t="s">
        <v>247</v>
      </c>
      <c r="E134" s="585" t="s">
        <v>262</v>
      </c>
      <c r="F134" s="429">
        <f>VLOOKUP($B$134,$A$11:$H$17,6,FALSE)*$C$131</f>
        <v>0</v>
      </c>
      <c r="G134" s="429">
        <f>VLOOKUP($B$134,$A$11:$H$17,7,FALSE)*$C$131</f>
        <v>0</v>
      </c>
      <c r="H134" s="429">
        <f>VLOOKUP($B$134,$A$11:$H$17,8,FALSE)*$C$131</f>
        <v>0</v>
      </c>
    </row>
    <row r="135" spans="1:8" s="585" customFormat="1" ht="18" hidden="1" outlineLevel="1">
      <c r="A135" s="441" t="s">
        <v>288</v>
      </c>
      <c r="B135" s="439">
        <v>2.7429999999999999</v>
      </c>
      <c r="C135" s="440" t="s">
        <v>529</v>
      </c>
      <c r="E135" s="431"/>
      <c r="F135" s="431"/>
      <c r="G135" s="431"/>
      <c r="H135" s="432"/>
    </row>
    <row r="136" spans="1:8" s="585" customFormat="1" hidden="1" outlineLevel="1">
      <c r="A136" s="441" t="s">
        <v>268</v>
      </c>
      <c r="B136" s="439">
        <v>175</v>
      </c>
      <c r="C136" s="440" t="s">
        <v>530</v>
      </c>
      <c r="E136" s="431"/>
      <c r="F136" s="431"/>
      <c r="G136" s="431"/>
      <c r="H136" s="432"/>
    </row>
    <row r="137" spans="1:8" s="585" customFormat="1" ht="18" hidden="1" outlineLevel="1">
      <c r="A137" s="441" t="s">
        <v>289</v>
      </c>
      <c r="B137" s="439">
        <f>B135*(B136/B139)</f>
        <v>0.48002499999999992</v>
      </c>
      <c r="C137" s="440"/>
      <c r="E137" s="431"/>
      <c r="F137" s="431"/>
      <c r="G137" s="431"/>
      <c r="H137" s="432"/>
    </row>
    <row r="138" spans="1:8" s="585" customFormat="1" ht="18.75" hidden="1" outlineLevel="1">
      <c r="A138" s="441" t="s">
        <v>290</v>
      </c>
      <c r="B138" s="439">
        <f>B137*B140</f>
        <v>480.02499999999992</v>
      </c>
      <c r="C138" s="440"/>
      <c r="E138" s="431"/>
      <c r="F138" s="431"/>
      <c r="G138" s="431"/>
      <c r="H138" s="432"/>
    </row>
    <row r="139" spans="1:8" s="585" customFormat="1" collapsed="1">
      <c r="A139" s="178"/>
      <c r="B139" s="438">
        <f>10^3</f>
        <v>1000</v>
      </c>
      <c r="C139" s="178" t="s">
        <v>270</v>
      </c>
      <c r="E139" s="431"/>
      <c r="F139" s="431"/>
      <c r="G139" s="431"/>
      <c r="H139" s="432"/>
    </row>
    <row r="140" spans="1:8" s="585" customFormat="1" ht="17.25">
      <c r="A140" s="178"/>
      <c r="B140" s="438">
        <f>10^3</f>
        <v>1000</v>
      </c>
      <c r="C140" s="178" t="s">
        <v>287</v>
      </c>
      <c r="E140" s="431"/>
      <c r="F140" s="431"/>
      <c r="G140" s="431"/>
      <c r="H140" s="432"/>
    </row>
    <row r="141" spans="1:8" s="585" customFormat="1" ht="18.75">
      <c r="A141" s="442" t="s">
        <v>299</v>
      </c>
      <c r="B141" s="443">
        <v>1.9</v>
      </c>
      <c r="C141" s="347" t="s">
        <v>531</v>
      </c>
      <c r="E141" s="431"/>
      <c r="F141" s="431"/>
      <c r="G141" s="431"/>
      <c r="H141" s="432"/>
    </row>
    <row r="142" spans="1:8" s="585" customFormat="1" ht="18">
      <c r="A142" s="585" t="s">
        <v>291</v>
      </c>
      <c r="B142" s="429">
        <f>B141*C129/C130</f>
        <v>0</v>
      </c>
      <c r="E142" s="431"/>
      <c r="F142" s="431"/>
      <c r="G142" s="431"/>
      <c r="H142" s="432"/>
    </row>
    <row r="143" spans="1:8" s="585" customFormat="1">
      <c r="E143" s="431"/>
      <c r="F143" s="431"/>
      <c r="G143" s="431"/>
      <c r="H143" s="432"/>
    </row>
    <row r="144" spans="1:8">
      <c r="A144" s="131" t="s">
        <v>640</v>
      </c>
      <c r="B144" s="131" t="str">
        <f>Założenia!D22</f>
        <v>NIE</v>
      </c>
      <c r="E144" s="431"/>
      <c r="F144" s="431"/>
      <c r="G144" s="431"/>
      <c r="H144" s="432"/>
    </row>
    <row r="145" spans="1:8">
      <c r="E145" s="431"/>
      <c r="F145" s="431"/>
      <c r="G145" s="431"/>
      <c r="H145" s="432"/>
    </row>
    <row r="146" spans="1:8">
      <c r="A146" s="572" t="s">
        <v>600</v>
      </c>
      <c r="C146" s="624">
        <v>24</v>
      </c>
      <c r="D146" s="572" t="s">
        <v>251</v>
      </c>
      <c r="E146" s="431" t="s">
        <v>252</v>
      </c>
      <c r="F146" s="431"/>
      <c r="G146" s="431"/>
      <c r="H146" s="432"/>
    </row>
    <row r="147" spans="1:8">
      <c r="A147" s="572" t="s">
        <v>253</v>
      </c>
      <c r="C147" s="572">
        <f>1/$B$22</f>
        <v>3.5999999999999996</v>
      </c>
      <c r="D147" s="572" t="s">
        <v>255</v>
      </c>
      <c r="E147" s="431"/>
      <c r="F147" s="431"/>
      <c r="G147" s="431"/>
      <c r="H147" s="432"/>
    </row>
    <row r="148" spans="1:8">
      <c r="A148" s="572" t="s">
        <v>600</v>
      </c>
      <c r="C148" s="428">
        <f>C146/C147</f>
        <v>6.666666666666667</v>
      </c>
      <c r="D148" s="572" t="s">
        <v>256</v>
      </c>
      <c r="E148" s="431"/>
      <c r="F148" s="431"/>
      <c r="G148" s="431"/>
      <c r="H148" s="432"/>
    </row>
    <row r="149" spans="1:8">
      <c r="A149" s="572" t="s">
        <v>257</v>
      </c>
      <c r="C149" s="571"/>
      <c r="D149" s="572" t="s">
        <v>258</v>
      </c>
      <c r="E149" s="431"/>
      <c r="F149" s="431"/>
      <c r="G149" s="431"/>
      <c r="H149" s="432"/>
    </row>
    <row r="150" spans="1:8">
      <c r="B150" s="572" t="s">
        <v>259</v>
      </c>
      <c r="C150" s="572">
        <v>100</v>
      </c>
      <c r="D150" s="572" t="s">
        <v>159</v>
      </c>
      <c r="E150" s="431"/>
      <c r="F150" s="431"/>
      <c r="G150" s="431"/>
      <c r="H150" s="432"/>
    </row>
    <row r="151" spans="1:8">
      <c r="B151" s="572" t="s">
        <v>260</v>
      </c>
      <c r="C151" s="428">
        <f>C148*C149/C150</f>
        <v>0</v>
      </c>
      <c r="D151" s="572" t="s">
        <v>260</v>
      </c>
      <c r="E151" s="431"/>
      <c r="F151" s="431"/>
      <c r="G151" s="431"/>
      <c r="H151" s="432"/>
    </row>
    <row r="152" spans="1:8">
      <c r="E152" s="431"/>
      <c r="F152" s="431"/>
      <c r="G152" s="431"/>
      <c r="H152" s="432"/>
    </row>
    <row r="153" spans="1:8">
      <c r="E153" s="431"/>
      <c r="F153" s="131" t="str">
        <f>F10</f>
        <v>NMHC/NMVOC</v>
      </c>
      <c r="G153" s="131" t="str">
        <f t="shared" ref="G153:H153" si="6">G10</f>
        <v>NOx</v>
      </c>
      <c r="H153" s="131" t="str">
        <f t="shared" si="6"/>
        <v>PM</v>
      </c>
    </row>
    <row r="154" spans="1:8">
      <c r="A154" s="572" t="s">
        <v>261</v>
      </c>
      <c r="B154" s="571" t="s">
        <v>247</v>
      </c>
      <c r="E154" s="431" t="s">
        <v>262</v>
      </c>
      <c r="F154" s="574">
        <f>VLOOKUP($B$154,$A$11:$H$17,6,FALSE)*$C$151</f>
        <v>0</v>
      </c>
      <c r="G154" s="574">
        <f>VLOOKUP($B$154,$A$11:$H$17,7,FALSE)*$C$151</f>
        <v>0</v>
      </c>
      <c r="H154" s="576">
        <f>VLOOKUP($B$154,$A$11:$H$17,8,FALSE)*$C$151</f>
        <v>0</v>
      </c>
    </row>
    <row r="155" spans="1:8" ht="18">
      <c r="A155" s="572" t="s">
        <v>296</v>
      </c>
      <c r="B155" s="572">
        <v>3.024</v>
      </c>
      <c r="C155" s="178" t="s">
        <v>529</v>
      </c>
      <c r="E155" s="431"/>
      <c r="F155" s="431"/>
      <c r="G155" s="431"/>
      <c r="H155" s="432"/>
    </row>
    <row r="156" spans="1:8">
      <c r="A156" s="572" t="s">
        <v>297</v>
      </c>
      <c r="B156" s="572">
        <v>520</v>
      </c>
      <c r="C156" s="178" t="s">
        <v>530</v>
      </c>
      <c r="E156" s="431"/>
      <c r="F156" s="431"/>
      <c r="G156" s="431"/>
      <c r="H156" s="432"/>
    </row>
    <row r="157" spans="1:8" ht="18">
      <c r="A157" s="572" t="s">
        <v>298</v>
      </c>
      <c r="B157" s="428">
        <f>B155*(B156/B158)</f>
        <v>1.5724800000000001</v>
      </c>
      <c r="E157" s="431"/>
      <c r="F157" s="431"/>
      <c r="G157" s="431"/>
      <c r="H157" s="432"/>
    </row>
    <row r="158" spans="1:8">
      <c r="B158" s="572">
        <f>10^3</f>
        <v>1000</v>
      </c>
      <c r="C158" s="178" t="s">
        <v>270</v>
      </c>
      <c r="E158" s="431"/>
      <c r="F158" s="431"/>
      <c r="G158" s="431"/>
      <c r="H158" s="432"/>
    </row>
    <row r="159" spans="1:8" ht="18" hidden="1" outlineLevel="1">
      <c r="A159" s="441" t="s">
        <v>284</v>
      </c>
      <c r="B159" s="439">
        <v>1.6</v>
      </c>
      <c r="C159" s="440" t="s">
        <v>531</v>
      </c>
      <c r="E159" s="431"/>
      <c r="F159" s="431"/>
      <c r="G159" s="431"/>
      <c r="H159" s="432"/>
    </row>
    <row r="160" spans="1:8" ht="18" collapsed="1">
      <c r="A160" s="572" t="s">
        <v>291</v>
      </c>
      <c r="B160" s="575">
        <f>B157*C149/C150</f>
        <v>0</v>
      </c>
      <c r="E160" s="431"/>
      <c r="F160" s="431"/>
      <c r="G160" s="431"/>
      <c r="H160" s="432"/>
    </row>
    <row r="161" spans="1:8" s="585" customFormat="1">
      <c r="B161" s="581"/>
      <c r="E161" s="431"/>
      <c r="F161" s="431"/>
      <c r="G161" s="431"/>
      <c r="H161" s="432"/>
    </row>
    <row r="162" spans="1:8" s="585" customFormat="1">
      <c r="A162" s="131" t="s">
        <v>642</v>
      </c>
      <c r="B162" s="594" t="str">
        <f>Założenia!E22</f>
        <v>NIE</v>
      </c>
      <c r="E162" s="431"/>
      <c r="F162" s="431"/>
      <c r="G162" s="431"/>
      <c r="H162" s="432"/>
    </row>
    <row r="163" spans="1:8" s="585" customFormat="1">
      <c r="B163" s="581"/>
      <c r="E163" s="431"/>
      <c r="F163" s="431"/>
      <c r="G163" s="431"/>
      <c r="H163" s="432"/>
    </row>
    <row r="164" spans="1:8" s="585" customFormat="1">
      <c r="A164" s="585" t="s">
        <v>600</v>
      </c>
      <c r="C164" s="624">
        <v>24</v>
      </c>
      <c r="D164" s="585" t="s">
        <v>251</v>
      </c>
      <c r="E164" s="431" t="s">
        <v>252</v>
      </c>
      <c r="F164" s="431"/>
      <c r="G164" s="431"/>
      <c r="H164" s="432"/>
    </row>
    <row r="165" spans="1:8" s="585" customFormat="1">
      <c r="A165" s="585" t="s">
        <v>253</v>
      </c>
      <c r="C165" s="585">
        <f>1/$B$22</f>
        <v>3.5999999999999996</v>
      </c>
      <c r="D165" s="585" t="s">
        <v>255</v>
      </c>
      <c r="E165" s="431"/>
      <c r="F165" s="431"/>
      <c r="G165" s="431"/>
      <c r="H165" s="432"/>
    </row>
    <row r="166" spans="1:8" s="585" customFormat="1">
      <c r="A166" s="585" t="s">
        <v>600</v>
      </c>
      <c r="C166" s="428">
        <f>C164/C165</f>
        <v>6.666666666666667</v>
      </c>
      <c r="D166" s="585" t="s">
        <v>256</v>
      </c>
      <c r="E166" s="431"/>
      <c r="F166" s="431"/>
      <c r="G166" s="431"/>
      <c r="H166" s="432"/>
    </row>
    <row r="167" spans="1:8" s="585" customFormat="1">
      <c r="A167" s="585" t="s">
        <v>257</v>
      </c>
      <c r="C167" s="584"/>
      <c r="D167" s="585" t="s">
        <v>258</v>
      </c>
      <c r="E167" s="431"/>
      <c r="F167" s="431"/>
      <c r="G167" s="431"/>
      <c r="H167" s="432"/>
    </row>
    <row r="168" spans="1:8" s="585" customFormat="1">
      <c r="B168" s="585" t="s">
        <v>259</v>
      </c>
      <c r="C168" s="585">
        <v>100</v>
      </c>
      <c r="D168" s="585" t="s">
        <v>159</v>
      </c>
      <c r="E168" s="431"/>
      <c r="F168" s="431"/>
      <c r="G168" s="431"/>
      <c r="H168" s="432"/>
    </row>
    <row r="169" spans="1:8" s="585" customFormat="1">
      <c r="B169" s="585" t="s">
        <v>260</v>
      </c>
      <c r="C169" s="428">
        <f>C166*C167/C168</f>
        <v>0</v>
      </c>
      <c r="D169" s="585" t="s">
        <v>260</v>
      </c>
      <c r="E169" s="431"/>
      <c r="F169" s="431"/>
      <c r="G169" s="431"/>
      <c r="H169" s="432"/>
    </row>
    <row r="170" spans="1:8" s="585" customFormat="1">
      <c r="E170" s="431"/>
      <c r="F170" s="431"/>
      <c r="G170" s="431"/>
      <c r="H170" s="432"/>
    </row>
    <row r="171" spans="1:8" s="585" customFormat="1">
      <c r="E171" s="431"/>
      <c r="F171" s="131" t="str">
        <f>F153</f>
        <v>NMHC/NMVOC</v>
      </c>
      <c r="G171" s="131" t="str">
        <f t="shared" ref="G171:H171" si="7">G153</f>
        <v>NOx</v>
      </c>
      <c r="H171" s="131" t="str">
        <f t="shared" si="7"/>
        <v>PM</v>
      </c>
    </row>
    <row r="172" spans="1:8" s="585" customFormat="1">
      <c r="A172" s="585" t="s">
        <v>261</v>
      </c>
      <c r="B172" s="584" t="s">
        <v>247</v>
      </c>
      <c r="E172" s="431" t="s">
        <v>262</v>
      </c>
      <c r="F172" s="574">
        <f>VLOOKUP($B$172,$A$11:$H$17,6,FALSE)*$C$169</f>
        <v>0</v>
      </c>
      <c r="G172" s="574">
        <f>VLOOKUP($B$172,$A$11:$H$17,7,FALSE)*$C$169</f>
        <v>0</v>
      </c>
      <c r="H172" s="576">
        <f>VLOOKUP($B$172,$A$11:$H$17,8,FALSE)*$C$169</f>
        <v>0</v>
      </c>
    </row>
    <row r="173" spans="1:8" s="585" customFormat="1" ht="18">
      <c r="A173" s="602" t="s">
        <v>296</v>
      </c>
      <c r="B173" s="585">
        <v>3.024</v>
      </c>
      <c r="C173" s="178" t="s">
        <v>529</v>
      </c>
      <c r="E173" s="431"/>
      <c r="F173" s="431"/>
      <c r="G173" s="431"/>
      <c r="H173" s="432"/>
    </row>
    <row r="174" spans="1:8" s="585" customFormat="1">
      <c r="A174" s="602" t="s">
        <v>297</v>
      </c>
      <c r="B174" s="585">
        <v>520</v>
      </c>
      <c r="C174" s="178" t="s">
        <v>530</v>
      </c>
      <c r="E174" s="431"/>
      <c r="F174" s="431"/>
      <c r="G174" s="431"/>
      <c r="H174" s="432"/>
    </row>
    <row r="175" spans="1:8" s="585" customFormat="1" ht="18">
      <c r="A175" s="602" t="s">
        <v>298</v>
      </c>
      <c r="B175" s="428">
        <f>B173*(B174/B176)</f>
        <v>1.5724800000000001</v>
      </c>
      <c r="E175" s="431"/>
      <c r="F175" s="431"/>
      <c r="G175" s="431"/>
      <c r="H175" s="432"/>
    </row>
    <row r="176" spans="1:8" s="585" customFormat="1">
      <c r="A176" s="602"/>
      <c r="B176" s="585">
        <f>10^3</f>
        <v>1000</v>
      </c>
      <c r="C176" s="178" t="s">
        <v>270</v>
      </c>
      <c r="E176" s="431"/>
      <c r="F176" s="431"/>
      <c r="G176" s="431"/>
      <c r="H176" s="432"/>
    </row>
    <row r="177" spans="1:8" s="585" customFormat="1" ht="18" hidden="1" outlineLevel="1">
      <c r="A177" s="441" t="s">
        <v>284</v>
      </c>
      <c r="B177" s="439">
        <v>1.6</v>
      </c>
      <c r="C177" s="440" t="s">
        <v>531</v>
      </c>
      <c r="E177" s="431"/>
      <c r="F177" s="431"/>
      <c r="G177" s="431"/>
      <c r="H177" s="432"/>
    </row>
    <row r="178" spans="1:8" s="585" customFormat="1" ht="18" collapsed="1">
      <c r="A178" s="602" t="s">
        <v>291</v>
      </c>
      <c r="B178" s="575">
        <f>B175*C167/C168</f>
        <v>0</v>
      </c>
      <c r="E178" s="431"/>
      <c r="F178" s="431"/>
      <c r="G178" s="431"/>
      <c r="H178" s="432"/>
    </row>
    <row r="179" spans="1:8" s="585" customFormat="1">
      <c r="B179" s="581"/>
      <c r="E179" s="431"/>
      <c r="F179" s="431"/>
      <c r="G179" s="431"/>
      <c r="H179" s="432"/>
    </row>
    <row r="180" spans="1:8" s="585" customFormat="1">
      <c r="A180" s="131" t="s">
        <v>641</v>
      </c>
      <c r="B180" s="594" t="str">
        <f>Założenia!F22</f>
        <v>NIE</v>
      </c>
      <c r="E180" s="431"/>
      <c r="F180" s="431"/>
      <c r="G180" s="431"/>
      <c r="H180" s="432"/>
    </row>
    <row r="181" spans="1:8" s="585" customFormat="1">
      <c r="B181" s="581"/>
      <c r="E181" s="431"/>
      <c r="F181" s="431"/>
      <c r="G181" s="431"/>
      <c r="H181" s="432"/>
    </row>
    <row r="182" spans="1:8" s="585" customFormat="1">
      <c r="A182" s="585" t="s">
        <v>600</v>
      </c>
      <c r="C182" s="624">
        <v>24</v>
      </c>
      <c r="D182" s="585" t="s">
        <v>251</v>
      </c>
      <c r="E182" s="431" t="s">
        <v>252</v>
      </c>
      <c r="F182" s="431"/>
      <c r="G182" s="431"/>
      <c r="H182" s="432"/>
    </row>
    <row r="183" spans="1:8" s="585" customFormat="1">
      <c r="A183" s="585" t="s">
        <v>253</v>
      </c>
      <c r="C183" s="585">
        <f>1/$B$22</f>
        <v>3.5999999999999996</v>
      </c>
      <c r="D183" s="585" t="s">
        <v>255</v>
      </c>
      <c r="E183" s="431"/>
      <c r="F183" s="431"/>
      <c r="G183" s="431"/>
      <c r="H183" s="432"/>
    </row>
    <row r="184" spans="1:8" s="585" customFormat="1">
      <c r="A184" s="585" t="s">
        <v>600</v>
      </c>
      <c r="C184" s="428">
        <f>C182/C183</f>
        <v>6.666666666666667</v>
      </c>
      <c r="D184" s="585" t="s">
        <v>256</v>
      </c>
      <c r="E184" s="431"/>
      <c r="F184" s="431"/>
      <c r="G184" s="431"/>
      <c r="H184" s="432"/>
    </row>
    <row r="185" spans="1:8" s="585" customFormat="1">
      <c r="A185" s="585" t="s">
        <v>257</v>
      </c>
      <c r="C185" s="584"/>
      <c r="D185" s="585" t="s">
        <v>258</v>
      </c>
      <c r="E185" s="431"/>
      <c r="F185" s="431"/>
      <c r="G185" s="431"/>
      <c r="H185" s="432"/>
    </row>
    <row r="186" spans="1:8" s="585" customFormat="1">
      <c r="B186" s="585" t="s">
        <v>259</v>
      </c>
      <c r="C186" s="585">
        <v>100</v>
      </c>
      <c r="D186" s="585" t="s">
        <v>159</v>
      </c>
      <c r="E186" s="431"/>
      <c r="F186" s="431"/>
      <c r="G186" s="431"/>
      <c r="H186" s="432"/>
    </row>
    <row r="187" spans="1:8" s="585" customFormat="1">
      <c r="B187" s="585" t="s">
        <v>260</v>
      </c>
      <c r="C187" s="428">
        <f>C184*C185/C186</f>
        <v>0</v>
      </c>
      <c r="D187" s="585" t="s">
        <v>260</v>
      </c>
      <c r="E187" s="431"/>
      <c r="F187" s="431"/>
      <c r="G187" s="431"/>
      <c r="H187" s="432"/>
    </row>
    <row r="188" spans="1:8" s="585" customFormat="1">
      <c r="E188" s="431"/>
      <c r="F188" s="431"/>
      <c r="G188" s="431"/>
      <c r="H188" s="432"/>
    </row>
    <row r="189" spans="1:8" s="585" customFormat="1">
      <c r="E189" s="431"/>
      <c r="F189" s="131" t="str">
        <f>F171</f>
        <v>NMHC/NMVOC</v>
      </c>
      <c r="G189" s="131" t="str">
        <f t="shared" ref="G189:H189" si="8">G171</f>
        <v>NOx</v>
      </c>
      <c r="H189" s="131" t="str">
        <f t="shared" si="8"/>
        <v>PM</v>
      </c>
    </row>
    <row r="190" spans="1:8" s="585" customFormat="1">
      <c r="A190" s="585" t="s">
        <v>261</v>
      </c>
      <c r="B190" s="584" t="s">
        <v>247</v>
      </c>
      <c r="E190" s="431" t="s">
        <v>262</v>
      </c>
      <c r="F190" s="574">
        <f>VLOOKUP($B$190,$A$11:$H$17,6,FALSE)*$C$187</f>
        <v>0</v>
      </c>
      <c r="G190" s="574">
        <f>VLOOKUP($B$190,$A$11:$H$17,7,FALSE)*$C$187</f>
        <v>0</v>
      </c>
      <c r="H190" s="576">
        <f>VLOOKUP($B$190,$A$11:$H$17,8,FALSE)*$C$187</f>
        <v>0</v>
      </c>
    </row>
    <row r="191" spans="1:8" s="585" customFormat="1" ht="18">
      <c r="A191" s="602" t="s">
        <v>296</v>
      </c>
      <c r="B191" s="585">
        <v>3.024</v>
      </c>
      <c r="C191" s="178" t="s">
        <v>529</v>
      </c>
      <c r="E191" s="431"/>
      <c r="F191" s="431"/>
      <c r="G191" s="431"/>
      <c r="H191" s="432"/>
    </row>
    <row r="192" spans="1:8" s="585" customFormat="1">
      <c r="A192" s="602" t="s">
        <v>297</v>
      </c>
      <c r="B192" s="585">
        <v>520</v>
      </c>
      <c r="C192" s="178" t="s">
        <v>530</v>
      </c>
      <c r="E192" s="431"/>
      <c r="F192" s="431"/>
      <c r="G192" s="431"/>
      <c r="H192" s="432"/>
    </row>
    <row r="193" spans="1:8" s="585" customFormat="1" ht="18">
      <c r="A193" s="602" t="s">
        <v>298</v>
      </c>
      <c r="B193" s="428">
        <f>B191*(B192/B194)</f>
        <v>1.5724800000000001</v>
      </c>
      <c r="E193" s="431"/>
      <c r="F193" s="431"/>
      <c r="G193" s="431"/>
      <c r="H193" s="432"/>
    </row>
    <row r="194" spans="1:8" s="585" customFormat="1">
      <c r="A194" s="602"/>
      <c r="B194" s="585">
        <f>10^3</f>
        <v>1000</v>
      </c>
      <c r="C194" s="178" t="s">
        <v>270</v>
      </c>
      <c r="E194" s="431"/>
      <c r="F194" s="431"/>
      <c r="G194" s="431"/>
      <c r="H194" s="432"/>
    </row>
    <row r="195" spans="1:8" s="585" customFormat="1" ht="18" hidden="1" outlineLevel="1">
      <c r="A195" s="441" t="s">
        <v>284</v>
      </c>
      <c r="B195" s="439">
        <v>1.6</v>
      </c>
      <c r="C195" s="440" t="s">
        <v>531</v>
      </c>
      <c r="E195" s="431"/>
      <c r="F195" s="431"/>
      <c r="G195" s="431"/>
      <c r="H195" s="432"/>
    </row>
    <row r="196" spans="1:8" s="548" customFormat="1" ht="18" collapsed="1">
      <c r="A196" s="602" t="s">
        <v>291</v>
      </c>
      <c r="B196" s="575">
        <f>B193*C185/C186</f>
        <v>0</v>
      </c>
      <c r="C196" s="585"/>
    </row>
    <row r="197" spans="1:8">
      <c r="E197" s="431"/>
      <c r="F197" s="431"/>
      <c r="G197" s="431"/>
      <c r="H197" s="432"/>
    </row>
    <row r="198" spans="1:8">
      <c r="A198" s="131" t="s">
        <v>643</v>
      </c>
      <c r="B198" s="131" t="str">
        <f>Założenia!D24</f>
        <v>TAK</v>
      </c>
    </row>
    <row r="199" spans="1:8" ht="15" customHeight="1"/>
    <row r="200" spans="1:8">
      <c r="A200" s="572" t="s">
        <v>681</v>
      </c>
      <c r="C200" s="571">
        <v>120</v>
      </c>
      <c r="D200" s="572" t="s">
        <v>533</v>
      </c>
    </row>
    <row r="201" spans="1:8">
      <c r="B201" s="572" t="s">
        <v>532</v>
      </c>
      <c r="C201" s="572">
        <v>100</v>
      </c>
    </row>
    <row r="202" spans="1:8">
      <c r="B202" s="572" t="s">
        <v>260</v>
      </c>
      <c r="C202" s="133">
        <f>C200/C201</f>
        <v>1.2</v>
      </c>
      <c r="D202" s="572" t="s">
        <v>260</v>
      </c>
    </row>
    <row r="203" spans="1:8">
      <c r="C203" s="133"/>
      <c r="D203" s="133"/>
    </row>
    <row r="204" spans="1:8">
      <c r="E204" s="131" t="str">
        <f>E19</f>
        <v>SO2</v>
      </c>
      <c r="F204" s="131" t="str">
        <f t="shared" ref="F204:H204" si="9">F19</f>
        <v>NMHC/NMVOC</v>
      </c>
      <c r="G204" s="131" t="str">
        <f t="shared" si="9"/>
        <v>NOx</v>
      </c>
      <c r="H204" s="131" t="str">
        <f t="shared" si="9"/>
        <v>PM</v>
      </c>
    </row>
    <row r="205" spans="1:8">
      <c r="D205" s="585" t="s">
        <v>262</v>
      </c>
      <c r="E205" s="429">
        <v>0</v>
      </c>
      <c r="F205" s="429">
        <v>0</v>
      </c>
      <c r="G205" s="429">
        <v>0</v>
      </c>
      <c r="H205" s="429">
        <v>0</v>
      </c>
    </row>
    <row r="206" spans="1:8" ht="15" customHeight="1"/>
    <row r="207" spans="1:8" ht="18">
      <c r="A207" s="572" t="s">
        <v>292</v>
      </c>
      <c r="B207" s="581">
        <f>D$20</f>
        <v>662.90204904313487</v>
      </c>
      <c r="C207" s="178" t="s">
        <v>534</v>
      </c>
      <c r="D207" s="178"/>
    </row>
    <row r="208" spans="1:8" ht="18">
      <c r="A208" s="572" t="s">
        <v>291</v>
      </c>
      <c r="B208" s="575">
        <f>B207*C202/1000</f>
        <v>0.79548245885176183</v>
      </c>
    </row>
    <row r="209" spans="1:8" ht="18">
      <c r="A209" s="572" t="s">
        <v>638</v>
      </c>
    </row>
    <row r="210" spans="1:8">
      <c r="A210" s="572" t="s">
        <v>535</v>
      </c>
    </row>
    <row r="211" spans="1:8" ht="18">
      <c r="A211" s="483" t="s">
        <v>294</v>
      </c>
    </row>
    <row r="212" spans="1:8">
      <c r="A212" s="145"/>
    </row>
    <row r="213" spans="1:8">
      <c r="A213" s="131" t="s">
        <v>644</v>
      </c>
      <c r="B213" s="594" t="str">
        <f>Założenia!E24</f>
        <v>TAK</v>
      </c>
    </row>
    <row r="214" spans="1:8" ht="15" customHeight="1"/>
    <row r="215" spans="1:8">
      <c r="A215" s="585" t="s">
        <v>681</v>
      </c>
      <c r="B215" s="585"/>
      <c r="C215" s="584">
        <v>130</v>
      </c>
      <c r="D215" s="585" t="s">
        <v>533</v>
      </c>
    </row>
    <row r="216" spans="1:8">
      <c r="A216" s="585"/>
      <c r="B216" s="585" t="s">
        <v>532</v>
      </c>
      <c r="C216" s="585">
        <v>100</v>
      </c>
      <c r="D216" s="585"/>
    </row>
    <row r="217" spans="1:8">
      <c r="A217" s="585"/>
      <c r="B217" s="585" t="s">
        <v>260</v>
      </c>
      <c r="C217" s="133">
        <f>C215/C216</f>
        <v>1.3</v>
      </c>
      <c r="D217" s="585" t="s">
        <v>260</v>
      </c>
    </row>
    <row r="218" spans="1:8">
      <c r="A218" s="585"/>
      <c r="B218" s="585"/>
      <c r="C218" s="133"/>
    </row>
    <row r="219" spans="1:8">
      <c r="A219" s="585"/>
      <c r="B219" s="585"/>
      <c r="C219" s="585"/>
      <c r="E219" s="131" t="str">
        <f>E204</f>
        <v>SO2</v>
      </c>
      <c r="F219" s="131" t="str">
        <f t="shared" ref="F219:H219" si="10">F204</f>
        <v>NMHC/NMVOC</v>
      </c>
      <c r="G219" s="131" t="str">
        <f t="shared" si="10"/>
        <v>NOx</v>
      </c>
      <c r="H219" s="131" t="str">
        <f t="shared" si="10"/>
        <v>PM</v>
      </c>
    </row>
    <row r="220" spans="1:8">
      <c r="A220" s="585"/>
      <c r="B220" s="585"/>
      <c r="C220" s="585"/>
      <c r="D220" s="585" t="s">
        <v>262</v>
      </c>
      <c r="E220" s="429">
        <v>0</v>
      </c>
      <c r="F220" s="429">
        <v>0</v>
      </c>
      <c r="G220" s="429">
        <v>0</v>
      </c>
      <c r="H220" s="429">
        <v>0</v>
      </c>
    </row>
    <row r="221" spans="1:8" s="585" customFormat="1"/>
    <row r="222" spans="1:8" s="585" customFormat="1" ht="18">
      <c r="A222" s="585" t="s">
        <v>292</v>
      </c>
      <c r="B222" s="581">
        <f>D$20</f>
        <v>662.90204904313487</v>
      </c>
      <c r="C222" s="178" t="s">
        <v>534</v>
      </c>
    </row>
    <row r="223" spans="1:8" s="585" customFormat="1" ht="18">
      <c r="A223" s="585" t="s">
        <v>291</v>
      </c>
      <c r="B223" s="575">
        <f>B222*C217/1000</f>
        <v>0.86177266375607531</v>
      </c>
    </row>
    <row r="224" spans="1:8" s="585" customFormat="1" ht="18">
      <c r="A224" s="585" t="s">
        <v>638</v>
      </c>
    </row>
    <row r="225" spans="1:8" s="585" customFormat="1">
      <c r="A225" s="585" t="s">
        <v>535</v>
      </c>
    </row>
    <row r="226" spans="1:8" s="585" customFormat="1" ht="18">
      <c r="A226" s="483" t="s">
        <v>294</v>
      </c>
    </row>
    <row r="227" spans="1:8" s="585" customFormat="1"/>
    <row r="228" spans="1:8" s="585" customFormat="1">
      <c r="A228" s="131" t="s">
        <v>645</v>
      </c>
      <c r="B228" s="594" t="str">
        <f>Założenia!F24</f>
        <v>NIE</v>
      </c>
    </row>
    <row r="229" spans="1:8" s="585" customFormat="1"/>
    <row r="230" spans="1:8" s="585" customFormat="1">
      <c r="A230" s="585" t="s">
        <v>681</v>
      </c>
      <c r="C230" s="584"/>
      <c r="D230" s="585" t="s">
        <v>533</v>
      </c>
    </row>
    <row r="231" spans="1:8" s="585" customFormat="1">
      <c r="B231" s="585" t="s">
        <v>532</v>
      </c>
      <c r="C231" s="585">
        <v>100</v>
      </c>
    </row>
    <row r="232" spans="1:8" s="585" customFormat="1">
      <c r="B232" s="585" t="s">
        <v>260</v>
      </c>
      <c r="C232" s="133">
        <f>C230/C231</f>
        <v>0</v>
      </c>
      <c r="D232" s="585" t="s">
        <v>260</v>
      </c>
    </row>
    <row r="233" spans="1:8" s="585" customFormat="1">
      <c r="C233" s="133"/>
    </row>
    <row r="234" spans="1:8" s="585" customFormat="1">
      <c r="E234" s="131" t="str">
        <f>E219</f>
        <v>SO2</v>
      </c>
      <c r="F234" s="131" t="str">
        <f t="shared" ref="F234:H234" si="11">F219</f>
        <v>NMHC/NMVOC</v>
      </c>
      <c r="G234" s="131" t="str">
        <f t="shared" si="11"/>
        <v>NOx</v>
      </c>
      <c r="H234" s="131" t="str">
        <f t="shared" si="11"/>
        <v>PM</v>
      </c>
    </row>
    <row r="235" spans="1:8" s="585" customFormat="1">
      <c r="D235" s="585" t="s">
        <v>262</v>
      </c>
      <c r="E235" s="429">
        <v>0</v>
      </c>
      <c r="F235" s="429">
        <v>0</v>
      </c>
      <c r="G235" s="429">
        <v>0</v>
      </c>
      <c r="H235" s="429">
        <v>0</v>
      </c>
    </row>
    <row r="236" spans="1:8" s="585" customFormat="1"/>
    <row r="237" spans="1:8" s="585" customFormat="1" ht="18">
      <c r="A237" s="585" t="s">
        <v>292</v>
      </c>
      <c r="B237" s="581">
        <f>D$20</f>
        <v>662.90204904313487</v>
      </c>
      <c r="C237" s="178" t="s">
        <v>534</v>
      </c>
    </row>
    <row r="238" spans="1:8" s="585" customFormat="1" ht="18">
      <c r="A238" s="585" t="s">
        <v>291</v>
      </c>
      <c r="B238" s="575">
        <f>B237*C232/1000</f>
        <v>0</v>
      </c>
    </row>
    <row r="239" spans="1:8" s="585" customFormat="1" ht="18">
      <c r="A239" s="585" t="s">
        <v>638</v>
      </c>
    </row>
    <row r="240" spans="1:8" s="585" customFormat="1">
      <c r="A240" s="585" t="s">
        <v>535</v>
      </c>
    </row>
    <row r="241" spans="1:8" s="585" customFormat="1" ht="18">
      <c r="A241" s="483" t="s">
        <v>294</v>
      </c>
    </row>
    <row r="242" spans="1:8" s="585" customFormat="1"/>
    <row r="243" spans="1:8" s="585" customFormat="1">
      <c r="A243" s="131" t="s">
        <v>646</v>
      </c>
      <c r="B243" s="131" t="str">
        <f>Założenia!D26</f>
        <v>NIE</v>
      </c>
    </row>
    <row r="244" spans="1:8" s="585" customFormat="1"/>
    <row r="245" spans="1:8" s="585" customFormat="1">
      <c r="A245" s="585" t="s">
        <v>250</v>
      </c>
      <c r="C245" s="624">
        <v>36</v>
      </c>
      <c r="D245" s="585" t="s">
        <v>251</v>
      </c>
      <c r="E245" s="426" t="s">
        <v>252</v>
      </c>
    </row>
    <row r="246" spans="1:8" s="585" customFormat="1">
      <c r="A246" s="585" t="s">
        <v>253</v>
      </c>
      <c r="B246" s="14" t="s">
        <v>254</v>
      </c>
      <c r="C246" s="585">
        <f>1/$B$22</f>
        <v>3.5999999999999996</v>
      </c>
      <c r="D246" s="585" t="s">
        <v>255</v>
      </c>
    </row>
    <row r="247" spans="1:8" s="585" customFormat="1">
      <c r="A247" s="585" t="s">
        <v>250</v>
      </c>
      <c r="C247" s="428">
        <f>C245/C246</f>
        <v>10.000000000000002</v>
      </c>
      <c r="D247" s="585" t="s">
        <v>256</v>
      </c>
    </row>
    <row r="248" spans="1:8" s="585" customFormat="1">
      <c r="A248" s="585" t="s">
        <v>257</v>
      </c>
      <c r="C248" s="542"/>
      <c r="D248" s="585" t="s">
        <v>258</v>
      </c>
    </row>
    <row r="249" spans="1:8" s="585" customFormat="1">
      <c r="A249" s="178"/>
      <c r="B249" s="585" t="s">
        <v>259</v>
      </c>
      <c r="C249" s="585">
        <v>100</v>
      </c>
      <c r="D249" s="585" t="s">
        <v>159</v>
      </c>
    </row>
    <row r="250" spans="1:8" s="585" customFormat="1">
      <c r="A250" s="178"/>
      <c r="B250" s="585" t="s">
        <v>260</v>
      </c>
      <c r="C250" s="585">
        <f>C248*C247/C249</f>
        <v>0</v>
      </c>
      <c r="D250" s="585" t="s">
        <v>260</v>
      </c>
    </row>
    <row r="251" spans="1:8" s="585" customFormat="1">
      <c r="E251" s="1"/>
      <c r="F251" s="131" t="str">
        <f>F36</f>
        <v>NMHC/NMVOC</v>
      </c>
      <c r="G251" s="131" t="str">
        <f t="shared" ref="G251:H251" si="12">G36</f>
        <v>NOx</v>
      </c>
      <c r="H251" s="131" t="str">
        <f t="shared" si="12"/>
        <v>PM</v>
      </c>
    </row>
    <row r="252" spans="1:8" s="585" customFormat="1">
      <c r="E252" s="585" t="s">
        <v>262</v>
      </c>
      <c r="F252" s="429">
        <f>VLOOKUP($B$253,$A$11:$H$17,6,FALSE)*$C$250</f>
        <v>0</v>
      </c>
      <c r="G252" s="429">
        <f>VLOOKUP($B$253,$A$11:$H$17,7,FALSE)*$C$250</f>
        <v>0</v>
      </c>
      <c r="H252" s="429">
        <f>VLOOKUP($B$253,$A$11:$H$17,8,FALSE)*$C$250</f>
        <v>0</v>
      </c>
    </row>
    <row r="253" spans="1:8" s="585" customFormat="1">
      <c r="A253" s="178" t="s">
        <v>261</v>
      </c>
      <c r="B253" s="584" t="s">
        <v>247</v>
      </c>
    </row>
    <row r="254" spans="1:8" s="585" customFormat="1">
      <c r="A254" s="178"/>
    </row>
    <row r="255" spans="1:8" s="585" customFormat="1" ht="18">
      <c r="A255" s="178" t="s">
        <v>296</v>
      </c>
      <c r="B255" s="437">
        <v>3.169</v>
      </c>
      <c r="C255" s="178" t="s">
        <v>529</v>
      </c>
    </row>
    <row r="256" spans="1:8" s="585" customFormat="1">
      <c r="A256" s="178" t="s">
        <v>297</v>
      </c>
      <c r="B256" s="437">
        <v>840</v>
      </c>
      <c r="C256" s="178" t="s">
        <v>530</v>
      </c>
    </row>
    <row r="257" spans="1:8" s="585" customFormat="1" ht="18">
      <c r="A257" s="178" t="s">
        <v>298</v>
      </c>
      <c r="B257" s="437">
        <f>B255*(B256/B258)</f>
        <v>2.6619600000000001</v>
      </c>
      <c r="C257" s="178"/>
    </row>
    <row r="258" spans="1:8" s="585" customFormat="1">
      <c r="A258" s="178"/>
      <c r="B258" s="438">
        <f>10^3</f>
        <v>1000</v>
      </c>
      <c r="C258" s="178" t="s">
        <v>270</v>
      </c>
    </row>
    <row r="259" spans="1:8" s="585" customFormat="1" ht="18" hidden="1" outlineLevel="1">
      <c r="A259" s="441" t="s">
        <v>284</v>
      </c>
      <c r="B259" s="439">
        <v>2.7</v>
      </c>
      <c r="C259" s="440" t="s">
        <v>531</v>
      </c>
    </row>
    <row r="260" spans="1:8" ht="18" collapsed="1">
      <c r="A260" s="178" t="s">
        <v>291</v>
      </c>
      <c r="B260" s="429">
        <f>B257*C248/C249</f>
        <v>0</v>
      </c>
      <c r="C260" s="585"/>
    </row>
    <row r="261" spans="1:8" ht="15" customHeight="1"/>
    <row r="262" spans="1:8">
      <c r="A262" s="585" t="s">
        <v>681</v>
      </c>
      <c r="B262" s="585"/>
      <c r="C262" s="584"/>
      <c r="D262" s="585" t="s">
        <v>533</v>
      </c>
    </row>
    <row r="263" spans="1:8">
      <c r="A263" s="585"/>
      <c r="B263" s="585" t="s">
        <v>532</v>
      </c>
      <c r="C263" s="585">
        <v>100</v>
      </c>
      <c r="D263" s="585"/>
    </row>
    <row r="264" spans="1:8" s="585" customFormat="1">
      <c r="B264" s="585" t="s">
        <v>260</v>
      </c>
      <c r="C264" s="133">
        <f>C262/C263</f>
        <v>0</v>
      </c>
      <c r="D264" s="585" t="s">
        <v>260</v>
      </c>
    </row>
    <row r="265" spans="1:8" s="585" customFormat="1">
      <c r="C265" s="133"/>
    </row>
    <row r="266" spans="1:8" s="585" customFormat="1">
      <c r="E266" s="131" t="str">
        <f>E234</f>
        <v>SO2</v>
      </c>
      <c r="F266" s="131" t="str">
        <f t="shared" ref="F266:G266" si="13">F234</f>
        <v>NMHC/NMVOC</v>
      </c>
      <c r="G266" s="131" t="str">
        <f t="shared" si="13"/>
        <v>NOx</v>
      </c>
      <c r="H266" s="131" t="str">
        <f>H234</f>
        <v>PM</v>
      </c>
    </row>
    <row r="267" spans="1:8" s="585" customFormat="1">
      <c r="D267" s="585" t="s">
        <v>262</v>
      </c>
      <c r="E267" s="429">
        <f>E$20*$C$264</f>
        <v>0</v>
      </c>
      <c r="F267" s="429">
        <f t="shared" ref="F267:H267" si="14">F$20*$C$264</f>
        <v>0</v>
      </c>
      <c r="G267" s="429">
        <f t="shared" si="14"/>
        <v>0</v>
      </c>
      <c r="H267" s="429">
        <f t="shared" si="14"/>
        <v>0</v>
      </c>
    </row>
    <row r="268" spans="1:8" s="585" customFormat="1"/>
    <row r="269" spans="1:8" s="585" customFormat="1" ht="18">
      <c r="A269" s="585" t="s">
        <v>292</v>
      </c>
      <c r="B269" s="581">
        <f>D$20</f>
        <v>662.90204904313487</v>
      </c>
      <c r="C269" s="178" t="s">
        <v>534</v>
      </c>
    </row>
    <row r="270" spans="1:8" s="585" customFormat="1" ht="18">
      <c r="A270" s="585" t="s">
        <v>291</v>
      </c>
      <c r="B270" s="575">
        <f>B269*C264/1000</f>
        <v>0</v>
      </c>
    </row>
    <row r="271" spans="1:8" s="585" customFormat="1" ht="18">
      <c r="A271" s="585" t="s">
        <v>638</v>
      </c>
    </row>
    <row r="272" spans="1:8" s="585" customFormat="1">
      <c r="A272" s="585" t="s">
        <v>535</v>
      </c>
    </row>
    <row r="273" spans="1:8" s="585" customFormat="1" ht="18">
      <c r="A273" s="483" t="s">
        <v>294</v>
      </c>
    </row>
    <row r="274" spans="1:8" s="585" customFormat="1">
      <c r="E274" s="131" t="str">
        <f>E266</f>
        <v>SO2</v>
      </c>
      <c r="F274" s="131" t="str">
        <f t="shared" ref="F274:H274" si="15">F266</f>
        <v>NMHC/NMVOC</v>
      </c>
      <c r="G274" s="131" t="str">
        <f t="shared" si="15"/>
        <v>NOx</v>
      </c>
      <c r="H274" s="131" t="str">
        <f t="shared" si="15"/>
        <v>PM</v>
      </c>
    </row>
    <row r="275" spans="1:8" s="585" customFormat="1">
      <c r="A275" s="585" t="s">
        <v>647</v>
      </c>
      <c r="D275" s="585" t="s">
        <v>262</v>
      </c>
      <c r="E275" s="429">
        <f>E267</f>
        <v>0</v>
      </c>
      <c r="F275" s="429">
        <f>F252+F267</f>
        <v>0</v>
      </c>
      <c r="G275" s="429">
        <f t="shared" ref="G275:H275" si="16">G252+G267</f>
        <v>0</v>
      </c>
      <c r="H275" s="429">
        <f t="shared" si="16"/>
        <v>0</v>
      </c>
    </row>
    <row r="276" spans="1:8" s="585" customFormat="1" ht="18">
      <c r="A276" s="585" t="s">
        <v>291</v>
      </c>
      <c r="B276" s="595">
        <f>B260+B270</f>
        <v>0</v>
      </c>
    </row>
    <row r="277" spans="1:8" s="585" customFormat="1"/>
    <row r="278" spans="1:8" s="585" customFormat="1">
      <c r="A278" s="131" t="s">
        <v>649</v>
      </c>
      <c r="B278" s="594" t="str">
        <f>Założenia!E26</f>
        <v>NIE</v>
      </c>
    </row>
    <row r="279" spans="1:8" s="585" customFormat="1"/>
    <row r="280" spans="1:8" s="585" customFormat="1">
      <c r="A280" s="585" t="s">
        <v>250</v>
      </c>
      <c r="C280" s="624">
        <v>36</v>
      </c>
      <c r="D280" s="585" t="s">
        <v>251</v>
      </c>
      <c r="E280" s="426" t="s">
        <v>252</v>
      </c>
    </row>
    <row r="281" spans="1:8" s="585" customFormat="1">
      <c r="A281" s="585" t="s">
        <v>253</v>
      </c>
      <c r="B281" s="14" t="s">
        <v>254</v>
      </c>
      <c r="C281" s="585">
        <f>1/$B$22</f>
        <v>3.5999999999999996</v>
      </c>
      <c r="D281" s="585" t="s">
        <v>255</v>
      </c>
    </row>
    <row r="282" spans="1:8" s="585" customFormat="1">
      <c r="A282" s="585" t="s">
        <v>250</v>
      </c>
      <c r="C282" s="428">
        <f>C280/C281</f>
        <v>10.000000000000002</v>
      </c>
      <c r="D282" s="585" t="s">
        <v>256</v>
      </c>
    </row>
    <row r="283" spans="1:8" s="585" customFormat="1">
      <c r="A283" s="585" t="s">
        <v>257</v>
      </c>
      <c r="C283" s="542"/>
      <c r="D283" s="585" t="s">
        <v>258</v>
      </c>
    </row>
    <row r="284" spans="1:8" s="585" customFormat="1">
      <c r="A284" s="178"/>
      <c r="B284" s="585" t="s">
        <v>259</v>
      </c>
      <c r="C284" s="585">
        <v>100</v>
      </c>
      <c r="D284" s="585" t="s">
        <v>159</v>
      </c>
    </row>
    <row r="285" spans="1:8" s="585" customFormat="1">
      <c r="A285" s="178"/>
      <c r="B285" s="585" t="s">
        <v>260</v>
      </c>
      <c r="C285" s="585">
        <f>C283*C282/C284</f>
        <v>0</v>
      </c>
      <c r="D285" s="585" t="s">
        <v>260</v>
      </c>
    </row>
    <row r="286" spans="1:8" s="585" customFormat="1">
      <c r="E286" s="1"/>
      <c r="F286" s="131" t="str">
        <f>F251</f>
        <v>NMHC/NMVOC</v>
      </c>
      <c r="G286" s="131" t="str">
        <f t="shared" ref="G286:H286" si="17">G251</f>
        <v>NOx</v>
      </c>
      <c r="H286" s="131" t="str">
        <f t="shared" si="17"/>
        <v>PM</v>
      </c>
    </row>
    <row r="287" spans="1:8" s="585" customFormat="1">
      <c r="E287" s="585" t="s">
        <v>262</v>
      </c>
      <c r="F287" s="429">
        <f>VLOOKUP($B$288,$A$11:$H$17,6,FALSE)*$C$285</f>
        <v>0</v>
      </c>
      <c r="G287" s="429">
        <f>VLOOKUP($B$288,$A$11:$H$17,7,FALSE)*$C$285</f>
        <v>0</v>
      </c>
      <c r="H287" s="429">
        <f>VLOOKUP($B$288,$A$11:$H$17,8,FALSE)*$C$285</f>
        <v>0</v>
      </c>
    </row>
    <row r="288" spans="1:8" s="585" customFormat="1">
      <c r="A288" s="178" t="s">
        <v>261</v>
      </c>
      <c r="B288" s="584" t="s">
        <v>247</v>
      </c>
    </row>
    <row r="289" spans="1:8" s="585" customFormat="1">
      <c r="A289" s="178"/>
    </row>
    <row r="290" spans="1:8" s="585" customFormat="1" ht="18">
      <c r="A290" s="178" t="s">
        <v>296</v>
      </c>
      <c r="B290" s="437">
        <v>3.169</v>
      </c>
      <c r="C290" s="178" t="s">
        <v>529</v>
      </c>
    </row>
    <row r="291" spans="1:8" s="585" customFormat="1">
      <c r="A291" s="178" t="s">
        <v>297</v>
      </c>
      <c r="B291" s="437">
        <v>840</v>
      </c>
      <c r="C291" s="178" t="s">
        <v>530</v>
      </c>
    </row>
    <row r="292" spans="1:8" s="585" customFormat="1" ht="18">
      <c r="A292" s="178" t="s">
        <v>298</v>
      </c>
      <c r="B292" s="437">
        <f>B290*(B291/B293)</f>
        <v>2.6619600000000001</v>
      </c>
      <c r="C292" s="178"/>
    </row>
    <row r="293" spans="1:8" s="585" customFormat="1">
      <c r="A293" s="178"/>
      <c r="B293" s="438">
        <f>10^3</f>
        <v>1000</v>
      </c>
      <c r="C293" s="178" t="s">
        <v>270</v>
      </c>
    </row>
    <row r="294" spans="1:8" s="585" customFormat="1" ht="18" hidden="1" outlineLevel="1">
      <c r="A294" s="441" t="s">
        <v>284</v>
      </c>
      <c r="B294" s="439">
        <v>2.7</v>
      </c>
      <c r="C294" s="440" t="s">
        <v>531</v>
      </c>
    </row>
    <row r="295" spans="1:8" s="585" customFormat="1" ht="18" collapsed="1">
      <c r="A295" s="178" t="s">
        <v>291</v>
      </c>
      <c r="B295" s="429">
        <f>B292*C283/C284</f>
        <v>0</v>
      </c>
    </row>
    <row r="296" spans="1:8" s="585" customFormat="1"/>
    <row r="297" spans="1:8">
      <c r="A297" s="585" t="s">
        <v>681</v>
      </c>
      <c r="B297" s="585"/>
      <c r="C297" s="584"/>
      <c r="D297" s="585" t="s">
        <v>533</v>
      </c>
    </row>
    <row r="298" spans="1:8" s="585" customFormat="1">
      <c r="B298" s="585" t="s">
        <v>532</v>
      </c>
      <c r="C298" s="585">
        <v>100</v>
      </c>
    </row>
    <row r="299" spans="1:8" s="585" customFormat="1">
      <c r="B299" s="585" t="s">
        <v>260</v>
      </c>
      <c r="C299" s="133">
        <f>C297/C298</f>
        <v>0</v>
      </c>
      <c r="D299" s="585" t="s">
        <v>260</v>
      </c>
    </row>
    <row r="300" spans="1:8" s="585" customFormat="1">
      <c r="C300" s="133"/>
    </row>
    <row r="301" spans="1:8" s="585" customFormat="1">
      <c r="E301" s="131" t="str">
        <f>E266</f>
        <v>SO2</v>
      </c>
      <c r="F301" s="131" t="str">
        <f t="shared" ref="F301:H301" si="18">F266</f>
        <v>NMHC/NMVOC</v>
      </c>
      <c r="G301" s="131" t="str">
        <f t="shared" si="18"/>
        <v>NOx</v>
      </c>
      <c r="H301" s="131" t="str">
        <f t="shared" si="18"/>
        <v>PM</v>
      </c>
    </row>
    <row r="302" spans="1:8" s="585" customFormat="1">
      <c r="D302" s="585" t="s">
        <v>262</v>
      </c>
      <c r="E302" s="429">
        <f>E$20*$C$299</f>
        <v>0</v>
      </c>
      <c r="F302" s="429">
        <f t="shared" ref="F302:H302" si="19">F$20*$C$299</f>
        <v>0</v>
      </c>
      <c r="G302" s="429">
        <f t="shared" si="19"/>
        <v>0</v>
      </c>
      <c r="H302" s="429">
        <f t="shared" si="19"/>
        <v>0</v>
      </c>
    </row>
    <row r="303" spans="1:8" s="585" customFormat="1"/>
    <row r="304" spans="1:8" s="585" customFormat="1" ht="18">
      <c r="A304" s="585" t="s">
        <v>292</v>
      </c>
      <c r="B304" s="581">
        <f>D$20</f>
        <v>662.90204904313487</v>
      </c>
      <c r="C304" s="178" t="s">
        <v>534</v>
      </c>
    </row>
    <row r="305" spans="1:8" s="585" customFormat="1" ht="18">
      <c r="A305" s="585" t="s">
        <v>291</v>
      </c>
      <c r="B305" s="575">
        <f>B304*C299/1000</f>
        <v>0</v>
      </c>
    </row>
    <row r="306" spans="1:8" s="585" customFormat="1" ht="18">
      <c r="A306" s="585" t="s">
        <v>638</v>
      </c>
    </row>
    <row r="307" spans="1:8" s="585" customFormat="1">
      <c r="A307" s="585" t="s">
        <v>535</v>
      </c>
    </row>
    <row r="308" spans="1:8" s="585" customFormat="1" ht="18">
      <c r="A308" s="483" t="s">
        <v>294</v>
      </c>
    </row>
    <row r="309" spans="1:8" s="585" customFormat="1">
      <c r="E309" s="131" t="str">
        <f>E301</f>
        <v>SO2</v>
      </c>
      <c r="F309" s="131" t="str">
        <f t="shared" ref="F309:H309" si="20">F301</f>
        <v>NMHC/NMVOC</v>
      </c>
      <c r="G309" s="131" t="str">
        <f t="shared" si="20"/>
        <v>NOx</v>
      </c>
      <c r="H309" s="131" t="str">
        <f t="shared" si="20"/>
        <v>PM</v>
      </c>
    </row>
    <row r="310" spans="1:8" s="585" customFormat="1">
      <c r="A310" s="585" t="s">
        <v>647</v>
      </c>
      <c r="D310" s="585" t="s">
        <v>262</v>
      </c>
      <c r="E310" s="429">
        <f>E302</f>
        <v>0</v>
      </c>
      <c r="F310" s="429">
        <f>F287+F302</f>
        <v>0</v>
      </c>
      <c r="G310" s="429">
        <f t="shared" ref="G310:H310" si="21">G287+G302</f>
        <v>0</v>
      </c>
      <c r="H310" s="429">
        <f t="shared" si="21"/>
        <v>0</v>
      </c>
    </row>
    <row r="311" spans="1:8" s="585" customFormat="1" ht="18">
      <c r="A311" s="585" t="s">
        <v>291</v>
      </c>
      <c r="B311" s="595">
        <f>B295+B305</f>
        <v>0</v>
      </c>
    </row>
    <row r="312" spans="1:8" s="585" customFormat="1"/>
    <row r="313" spans="1:8" s="585" customFormat="1">
      <c r="A313" s="131" t="s">
        <v>650</v>
      </c>
      <c r="B313" s="594" t="str">
        <f>Założenia!F26</f>
        <v>NIE</v>
      </c>
    </row>
    <row r="314" spans="1:8" s="585" customFormat="1"/>
    <row r="315" spans="1:8" s="585" customFormat="1">
      <c r="A315" s="585" t="s">
        <v>250</v>
      </c>
      <c r="C315" s="624">
        <v>36</v>
      </c>
      <c r="D315" s="585" t="s">
        <v>251</v>
      </c>
      <c r="E315" s="426" t="s">
        <v>252</v>
      </c>
    </row>
    <row r="316" spans="1:8" s="585" customFormat="1">
      <c r="A316" s="585" t="s">
        <v>253</v>
      </c>
      <c r="B316" s="14" t="s">
        <v>254</v>
      </c>
      <c r="C316" s="585">
        <f>1/$B$22</f>
        <v>3.5999999999999996</v>
      </c>
      <c r="D316" s="585" t="s">
        <v>255</v>
      </c>
    </row>
    <row r="317" spans="1:8" s="585" customFormat="1">
      <c r="A317" s="585" t="s">
        <v>250</v>
      </c>
      <c r="C317" s="428">
        <f>C315/C316</f>
        <v>10.000000000000002</v>
      </c>
      <c r="D317" s="585" t="s">
        <v>256</v>
      </c>
    </row>
    <row r="318" spans="1:8" s="585" customFormat="1">
      <c r="A318" s="585" t="s">
        <v>257</v>
      </c>
      <c r="C318" s="542"/>
      <c r="D318" s="585" t="s">
        <v>258</v>
      </c>
    </row>
    <row r="319" spans="1:8" s="585" customFormat="1">
      <c r="A319" s="178"/>
      <c r="B319" s="585" t="s">
        <v>259</v>
      </c>
      <c r="C319" s="585">
        <v>100</v>
      </c>
      <c r="D319" s="585" t="s">
        <v>159</v>
      </c>
    </row>
    <row r="320" spans="1:8" s="585" customFormat="1">
      <c r="A320" s="178"/>
      <c r="B320" s="585" t="s">
        <v>260</v>
      </c>
      <c r="C320" s="585">
        <f>C318*C317/C319</f>
        <v>0</v>
      </c>
      <c r="D320" s="585" t="s">
        <v>260</v>
      </c>
    </row>
    <row r="321" spans="1:8" s="585" customFormat="1">
      <c r="E321" s="1"/>
      <c r="F321" s="131" t="str">
        <f>F286</f>
        <v>NMHC/NMVOC</v>
      </c>
      <c r="G321" s="131" t="str">
        <f t="shared" ref="G321:H321" si="22">G286</f>
        <v>NOx</v>
      </c>
      <c r="H321" s="131" t="str">
        <f t="shared" si="22"/>
        <v>PM</v>
      </c>
    </row>
    <row r="322" spans="1:8" s="585" customFormat="1">
      <c r="E322" s="585" t="s">
        <v>262</v>
      </c>
      <c r="F322" s="429">
        <f>VLOOKUP($B$323,$A$11:$H$17,6,FALSE)*$C$320</f>
        <v>0</v>
      </c>
      <c r="G322" s="429">
        <f>VLOOKUP($B$323,$A$11:$H$17,7,FALSE)*$C$320</f>
        <v>0</v>
      </c>
      <c r="H322" s="429">
        <f>VLOOKUP($B$323,$A$11:$H$17,8,FALSE)*$C$320</f>
        <v>0</v>
      </c>
    </row>
    <row r="323" spans="1:8" s="585" customFormat="1">
      <c r="A323" s="178" t="s">
        <v>261</v>
      </c>
      <c r="B323" s="584" t="s">
        <v>247</v>
      </c>
    </row>
    <row r="324" spans="1:8" s="585" customFormat="1">
      <c r="A324" s="178"/>
    </row>
    <row r="325" spans="1:8" s="585" customFormat="1" ht="18">
      <c r="A325" s="178" t="s">
        <v>296</v>
      </c>
      <c r="B325" s="437">
        <v>3.169</v>
      </c>
      <c r="C325" s="178" t="s">
        <v>529</v>
      </c>
    </row>
    <row r="326" spans="1:8" s="585" customFormat="1">
      <c r="A326" s="178" t="s">
        <v>297</v>
      </c>
      <c r="B326" s="437">
        <v>840</v>
      </c>
      <c r="C326" s="178" t="s">
        <v>530</v>
      </c>
    </row>
    <row r="327" spans="1:8" s="585" customFormat="1" ht="18">
      <c r="A327" s="178" t="s">
        <v>298</v>
      </c>
      <c r="B327" s="437">
        <f>B325*(B326/B328)</f>
        <v>2.6619600000000001</v>
      </c>
      <c r="C327" s="178"/>
    </row>
    <row r="328" spans="1:8" s="585" customFormat="1">
      <c r="A328" s="178"/>
      <c r="B328" s="438">
        <f>10^3</f>
        <v>1000</v>
      </c>
      <c r="C328" s="178" t="s">
        <v>270</v>
      </c>
    </row>
    <row r="329" spans="1:8" s="585" customFormat="1" ht="18" hidden="1" outlineLevel="1">
      <c r="A329" s="441" t="s">
        <v>284</v>
      </c>
      <c r="B329" s="439">
        <v>2.7</v>
      </c>
      <c r="C329" s="440" t="s">
        <v>531</v>
      </c>
    </row>
    <row r="330" spans="1:8" s="585" customFormat="1" ht="18" collapsed="1">
      <c r="A330" s="178" t="s">
        <v>291</v>
      </c>
      <c r="B330" s="429">
        <f>B327*C318/C319</f>
        <v>0</v>
      </c>
    </row>
    <row r="331" spans="1:8" s="585" customFormat="1"/>
    <row r="332" spans="1:8">
      <c r="A332" s="585" t="s">
        <v>681</v>
      </c>
      <c r="B332" s="585"/>
      <c r="C332" s="584"/>
      <c r="D332" s="585" t="s">
        <v>533</v>
      </c>
      <c r="E332" s="585"/>
    </row>
    <row r="333" spans="1:8">
      <c r="A333" s="585"/>
      <c r="B333" s="585" t="s">
        <v>532</v>
      </c>
      <c r="C333" s="585">
        <v>100</v>
      </c>
      <c r="D333" s="585"/>
      <c r="E333" s="585"/>
    </row>
    <row r="334" spans="1:8">
      <c r="A334" s="585"/>
      <c r="B334" s="585" t="s">
        <v>260</v>
      </c>
      <c r="C334" s="133">
        <f>C332/C333</f>
        <v>0</v>
      </c>
      <c r="D334" s="585" t="s">
        <v>260</v>
      </c>
      <c r="E334" s="585"/>
    </row>
    <row r="335" spans="1:8">
      <c r="A335" s="585"/>
      <c r="B335" s="585"/>
      <c r="C335" s="133"/>
      <c r="D335" s="585"/>
      <c r="E335" s="585"/>
    </row>
    <row r="336" spans="1:8">
      <c r="A336" s="585"/>
      <c r="B336" s="585"/>
      <c r="C336" s="585"/>
      <c r="D336" s="585"/>
      <c r="E336" s="131" t="str">
        <f>E301</f>
        <v>SO2</v>
      </c>
      <c r="F336" s="131" t="str">
        <f t="shared" ref="F336:H336" si="23">F301</f>
        <v>NMHC/NMVOC</v>
      </c>
      <c r="G336" s="131" t="str">
        <f t="shared" si="23"/>
        <v>NOx</v>
      </c>
      <c r="H336" s="131" t="str">
        <f t="shared" si="23"/>
        <v>PM</v>
      </c>
    </row>
    <row r="337" spans="1:8">
      <c r="A337" s="585"/>
      <c r="B337" s="585"/>
      <c r="C337" s="585"/>
      <c r="D337" s="585" t="s">
        <v>262</v>
      </c>
      <c r="E337" s="429">
        <f>E$20*$C$334</f>
        <v>0</v>
      </c>
      <c r="F337" s="429">
        <f t="shared" ref="F337:H337" si="24">F$20*$C$334</f>
        <v>0</v>
      </c>
      <c r="G337" s="429">
        <f t="shared" si="24"/>
        <v>0</v>
      </c>
      <c r="H337" s="429">
        <f t="shared" si="24"/>
        <v>0</v>
      </c>
    </row>
    <row r="338" spans="1:8">
      <c r="A338" s="585"/>
      <c r="B338" s="585"/>
      <c r="C338" s="585"/>
      <c r="D338" s="585"/>
      <c r="E338" s="585"/>
    </row>
    <row r="339" spans="1:8" s="585" customFormat="1" ht="18">
      <c r="A339" s="585" t="s">
        <v>292</v>
      </c>
      <c r="B339" s="581">
        <f>D$20</f>
        <v>662.90204904313487</v>
      </c>
      <c r="C339" s="178" t="s">
        <v>534</v>
      </c>
    </row>
    <row r="340" spans="1:8" ht="18">
      <c r="A340" s="585" t="s">
        <v>291</v>
      </c>
      <c r="B340" s="575">
        <f>B339*C334/1000</f>
        <v>0</v>
      </c>
      <c r="C340" s="585"/>
      <c r="D340" s="585"/>
      <c r="E340" s="585"/>
    </row>
    <row r="341" spans="1:8" ht="18">
      <c r="A341" s="585" t="s">
        <v>638</v>
      </c>
      <c r="B341" s="585"/>
      <c r="C341" s="585"/>
      <c r="D341" s="585"/>
      <c r="E341" s="585"/>
    </row>
    <row r="342" spans="1:8" ht="15" customHeight="1">
      <c r="A342" s="585" t="s">
        <v>535</v>
      </c>
      <c r="B342" s="585"/>
      <c r="C342" s="585"/>
      <c r="D342" s="585"/>
      <c r="E342" s="585"/>
    </row>
    <row r="343" spans="1:8" ht="15" customHeight="1">
      <c r="A343" s="483" t="s">
        <v>294</v>
      </c>
      <c r="B343" s="585"/>
      <c r="C343" s="585"/>
      <c r="D343" s="585"/>
      <c r="E343" s="585"/>
    </row>
    <row r="344" spans="1:8" ht="15" customHeight="1">
      <c r="A344" s="585"/>
      <c r="B344" s="585"/>
      <c r="C344" s="585"/>
      <c r="D344" s="585"/>
      <c r="E344" s="131" t="str">
        <f>E336</f>
        <v>SO2</v>
      </c>
      <c r="F344" s="131" t="str">
        <f t="shared" ref="F344:H344" si="25">F336</f>
        <v>NMHC/NMVOC</v>
      </c>
      <c r="G344" s="131" t="str">
        <f t="shared" si="25"/>
        <v>NOx</v>
      </c>
      <c r="H344" s="131" t="str">
        <f t="shared" si="25"/>
        <v>PM</v>
      </c>
    </row>
    <row r="345" spans="1:8" ht="15" customHeight="1">
      <c r="A345" s="585" t="s">
        <v>647</v>
      </c>
      <c r="B345" s="585"/>
      <c r="C345" s="585"/>
      <c r="D345" s="585" t="s">
        <v>262</v>
      </c>
      <c r="E345" s="429">
        <f>E337</f>
        <v>0</v>
      </c>
      <c r="F345" s="429">
        <f>F322+F337</f>
        <v>0</v>
      </c>
      <c r="G345" s="429">
        <f t="shared" ref="G345:H345" si="26">G322+G337</f>
        <v>0</v>
      </c>
      <c r="H345" s="429">
        <f t="shared" si="26"/>
        <v>0</v>
      </c>
    </row>
    <row r="346" spans="1:8" ht="15" customHeight="1">
      <c r="A346" s="585" t="s">
        <v>291</v>
      </c>
      <c r="B346" s="595">
        <f>B330+B340</f>
        <v>0</v>
      </c>
      <c r="C346" s="585"/>
      <c r="D346" s="585"/>
      <c r="E346" s="585"/>
    </row>
    <row r="347" spans="1:8" ht="15" customHeight="1"/>
  </sheetData>
  <dataValidations disablePrompts="1" count="2">
    <dataValidation type="custom" allowBlank="1" showInputMessage="1" showErrorMessage="1" sqref="A11:A17">
      <formula1>B37</formula1>
    </dataValidation>
    <dataValidation type="list" allowBlank="1" showInputMessage="1" showErrorMessage="1" sqref="B37 B94 B56 B75 B114 B134 B253 B288 B323">
      <formula1>$A$11:$A$17</formula1>
    </dataValidation>
  </dataValidations>
  <hyperlinks>
    <hyperlink ref="A211" location="'Zmiany klimatu (GHG) samochody'!A180" display="Zmiany wskaźnika emisji CO2 względem roku 2019"/>
    <hyperlink ref="A226" location="'Zmiany klimatu (GHG) samochody'!A180" display="Zmiany wskaźnika emisji CO2 względem roku 2019"/>
    <hyperlink ref="A241" location="'Zmiany klimatu (GHG) samochody'!A180" display="Zmiany wskaźnika emisji CO2 względem roku 2019"/>
    <hyperlink ref="A273" location="'Zmiany klimatu (GHG) samochody'!A180" display="Zmiany wskaźnika emisji CO2 względem roku 2019"/>
    <hyperlink ref="A308" location="'Zmiany klimatu (GHG) samochody'!A180" display="Zmiany wskaźnika emisji CO2 względem roku 2019"/>
    <hyperlink ref="A343" location="'Zmiany klimatu (GHG) samochody'!A180" display="Zmiany wskaźnika emisji CO2 względem roku 2019"/>
  </hyperlink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347"/>
  <sheetViews>
    <sheetView workbookViewId="0">
      <pane ySplit="1" topLeftCell="A2" activePane="bottomLeft" state="frozen"/>
      <selection pane="bottomLeft" activeCell="A2" sqref="A2"/>
    </sheetView>
  </sheetViews>
  <sheetFormatPr defaultColWidth="0" defaultRowHeight="15" customHeight="1" zeroHeight="1" outlineLevelRow="1"/>
  <cols>
    <col min="1" max="1" width="29" style="585" customWidth="1"/>
    <col min="2" max="2" width="15.7109375" style="585" bestFit="1" customWidth="1"/>
    <col min="3" max="5" width="15" style="585" customWidth="1"/>
    <col min="6" max="6" width="18.85546875" style="585" customWidth="1"/>
    <col min="7" max="8" width="15" style="585" customWidth="1"/>
    <col min="9" max="9" width="59.7109375" style="585" bestFit="1" customWidth="1"/>
    <col min="10" max="10" width="18.140625" style="585" customWidth="1"/>
    <col min="11" max="11" width="10" style="585" bestFit="1" customWidth="1"/>
    <col min="12" max="59" width="9.140625" style="585" customWidth="1"/>
    <col min="60" max="16384" width="9.140625" style="585" hidden="1"/>
  </cols>
  <sheetData>
    <row r="1" spans="1:10" ht="24">
      <c r="A1" s="4" t="s">
        <v>656</v>
      </c>
      <c r="B1" s="5"/>
      <c r="C1" s="103"/>
      <c r="D1" s="103"/>
      <c r="E1" s="103"/>
      <c r="F1" s="103"/>
      <c r="G1" s="103"/>
      <c r="H1" s="103"/>
      <c r="I1" s="103"/>
      <c r="J1" s="103"/>
    </row>
    <row r="2" spans="1:10" ht="15" customHeight="1"/>
    <row r="3" spans="1:10" ht="15" customHeight="1"/>
    <row r="4" spans="1:10" ht="15" customHeight="1"/>
    <row r="5" spans="1:10" ht="15" customHeight="1"/>
    <row r="6" spans="1:10" ht="15" customHeight="1"/>
    <row r="7" spans="1:10" ht="15" customHeight="1"/>
    <row r="8" spans="1:10" ht="15" customHeight="1"/>
    <row r="9" spans="1:10" ht="15" customHeight="1"/>
    <row r="10" spans="1:10" ht="18">
      <c r="A10" s="131" t="s">
        <v>230</v>
      </c>
      <c r="B10" s="131" t="s">
        <v>267</v>
      </c>
      <c r="C10" s="131" t="s">
        <v>231</v>
      </c>
      <c r="D10" s="131"/>
      <c r="E10" s="131"/>
      <c r="F10" s="131" t="s">
        <v>232</v>
      </c>
      <c r="G10" s="131" t="s">
        <v>283</v>
      </c>
      <c r="H10" s="131" t="s">
        <v>233</v>
      </c>
      <c r="I10" s="131" t="s">
        <v>234</v>
      </c>
      <c r="J10" s="131" t="s">
        <v>235</v>
      </c>
    </row>
    <row r="11" spans="1:10">
      <c r="A11" s="585" t="s">
        <v>236</v>
      </c>
      <c r="B11" s="585" t="s">
        <v>237</v>
      </c>
      <c r="C11" s="585" t="s">
        <v>238</v>
      </c>
      <c r="F11" s="133">
        <v>1.1000000000000001</v>
      </c>
      <c r="G11" s="134">
        <v>8</v>
      </c>
      <c r="H11" s="133">
        <v>0.36</v>
      </c>
      <c r="I11" s="585" t="s">
        <v>518</v>
      </c>
      <c r="J11" s="585" t="s">
        <v>523</v>
      </c>
    </row>
    <row r="12" spans="1:10">
      <c r="A12" s="585" t="s">
        <v>239</v>
      </c>
      <c r="B12" s="585" t="s">
        <v>240</v>
      </c>
      <c r="C12" s="585" t="s">
        <v>238</v>
      </c>
      <c r="F12" s="133">
        <v>1.1000000000000001</v>
      </c>
      <c r="G12" s="134">
        <v>7</v>
      </c>
      <c r="H12" s="133">
        <v>0.15</v>
      </c>
      <c r="I12" s="585" t="s">
        <v>518</v>
      </c>
      <c r="J12" s="585" t="s">
        <v>523</v>
      </c>
    </row>
    <row r="13" spans="1:10">
      <c r="A13" s="585" t="s">
        <v>241</v>
      </c>
      <c r="B13" s="585" t="s">
        <v>242</v>
      </c>
      <c r="C13" s="585" t="s">
        <v>238</v>
      </c>
      <c r="F13" s="133">
        <v>0.66</v>
      </c>
      <c r="G13" s="134">
        <v>5</v>
      </c>
      <c r="H13" s="133">
        <v>0.1</v>
      </c>
      <c r="I13" s="585" t="s">
        <v>519</v>
      </c>
      <c r="J13" s="424" t="s">
        <v>524</v>
      </c>
    </row>
    <row r="14" spans="1:10">
      <c r="A14" s="585" t="s">
        <v>243</v>
      </c>
      <c r="B14" s="585" t="s">
        <v>244</v>
      </c>
      <c r="C14" s="585" t="s">
        <v>238</v>
      </c>
      <c r="F14" s="133">
        <v>0.46</v>
      </c>
      <c r="G14" s="134">
        <v>3.5</v>
      </c>
      <c r="H14" s="133">
        <v>0.02</v>
      </c>
      <c r="I14" s="585" t="s">
        <v>520</v>
      </c>
      <c r="J14" s="424" t="s">
        <v>525</v>
      </c>
    </row>
    <row r="15" spans="1:10">
      <c r="A15" s="585" t="s">
        <v>245</v>
      </c>
      <c r="B15" s="585" t="s">
        <v>246</v>
      </c>
      <c r="C15" s="585" t="s">
        <v>238</v>
      </c>
      <c r="F15" s="133">
        <v>0.46</v>
      </c>
      <c r="G15" s="134">
        <v>2</v>
      </c>
      <c r="H15" s="133">
        <v>0.02</v>
      </c>
      <c r="I15" s="585" t="s">
        <v>521</v>
      </c>
      <c r="J15" s="424" t="s">
        <v>526</v>
      </c>
    </row>
    <row r="16" spans="1:10">
      <c r="A16" s="149" t="s">
        <v>247</v>
      </c>
      <c r="B16" s="149" t="s">
        <v>248</v>
      </c>
      <c r="C16" s="149" t="s">
        <v>238</v>
      </c>
      <c r="D16" s="149"/>
      <c r="E16" s="149"/>
      <c r="F16" s="150">
        <v>0.13</v>
      </c>
      <c r="G16" s="152">
        <v>0.4</v>
      </c>
      <c r="H16" s="150">
        <v>0.01</v>
      </c>
      <c r="I16" s="149" t="s">
        <v>522</v>
      </c>
      <c r="J16" s="434" t="s">
        <v>527</v>
      </c>
    </row>
    <row r="17" spans="1:10">
      <c r="A17" s="149" t="s">
        <v>249</v>
      </c>
      <c r="B17" s="149"/>
      <c r="C17" s="149" t="s">
        <v>238</v>
      </c>
      <c r="D17" s="149"/>
      <c r="E17" s="149"/>
      <c r="F17" s="435">
        <v>0.13</v>
      </c>
      <c r="G17" s="436">
        <v>0.4</v>
      </c>
      <c r="H17" s="435">
        <v>0.01</v>
      </c>
      <c r="I17" s="149"/>
      <c r="J17" s="149"/>
    </row>
    <row r="18" spans="1:10" ht="15" customHeight="1"/>
    <row r="19" spans="1:10" ht="18">
      <c r="D19" s="131" t="s">
        <v>281</v>
      </c>
      <c r="E19" s="131" t="s">
        <v>282</v>
      </c>
      <c r="F19" s="131" t="str">
        <f>F10</f>
        <v>NMHC/NMVOC</v>
      </c>
      <c r="G19" s="131" t="str">
        <f t="shared" ref="G19:H19" si="0">G10</f>
        <v>NOx</v>
      </c>
      <c r="H19" s="131" t="str">
        <f t="shared" si="0"/>
        <v>PM</v>
      </c>
    </row>
    <row r="20" spans="1:10">
      <c r="A20" s="178" t="s">
        <v>80</v>
      </c>
      <c r="B20" s="178" t="s">
        <v>269</v>
      </c>
      <c r="C20" s="178" t="s">
        <v>238</v>
      </c>
      <c r="D20" s="581">
        <f>719*(1+'Zmiany klimatu (GHG) samochody'!V180)</f>
        <v>662.90204904313487</v>
      </c>
      <c r="E20" s="444">
        <v>0.51100000000000001</v>
      </c>
      <c r="F20" s="444">
        <f>1.4*($B$24*$B$25)/($B$23*1000)</f>
        <v>5.0400000000000002E-3</v>
      </c>
      <c r="G20" s="444">
        <v>0.57599999999999996</v>
      </c>
      <c r="H20" s="444">
        <v>2.9000000000000001E-2</v>
      </c>
      <c r="I20" s="178" t="s">
        <v>528</v>
      </c>
    </row>
    <row r="21" spans="1:10" hidden="1" outlineLevel="1"/>
    <row r="22" spans="1:10" hidden="1" outlineLevel="1">
      <c r="A22" s="585" t="s">
        <v>48</v>
      </c>
      <c r="B22" s="147">
        <f>B23/(B24*B25)</f>
        <v>0.27777777777777779</v>
      </c>
    </row>
    <row r="23" spans="1:10" hidden="1" outlineLevel="1">
      <c r="B23" s="102">
        <f>10^6</f>
        <v>1000000</v>
      </c>
      <c r="C23" s="585" t="s">
        <v>51</v>
      </c>
    </row>
    <row r="24" spans="1:10" hidden="1" outlineLevel="1">
      <c r="B24" s="102">
        <f>10^3</f>
        <v>1000</v>
      </c>
      <c r="C24" s="585" t="s">
        <v>52</v>
      </c>
    </row>
    <row r="25" spans="1:10" hidden="1" outlineLevel="1">
      <c r="B25" s="102">
        <f>(60*60)</f>
        <v>3600</v>
      </c>
      <c r="C25" s="585" t="s">
        <v>53</v>
      </c>
    </row>
    <row r="26" spans="1:10" ht="15" customHeight="1" collapsed="1"/>
    <row r="27" spans="1:10">
      <c r="A27" s="131" t="s">
        <v>633</v>
      </c>
      <c r="B27" s="131" t="str">
        <f>Założenia!D53</f>
        <v>NIE</v>
      </c>
    </row>
    <row r="28" spans="1:10">
      <c r="A28" s="1"/>
    </row>
    <row r="29" spans="1:10">
      <c r="A29" s="585" t="s">
        <v>250</v>
      </c>
      <c r="C29" s="624">
        <v>36</v>
      </c>
      <c r="D29" s="585" t="s">
        <v>251</v>
      </c>
      <c r="E29" s="426" t="s">
        <v>252</v>
      </c>
    </row>
    <row r="30" spans="1:10">
      <c r="A30" s="585" t="s">
        <v>253</v>
      </c>
      <c r="B30" s="14" t="s">
        <v>254</v>
      </c>
      <c r="C30" s="585">
        <f>1/$B$22</f>
        <v>3.5999999999999996</v>
      </c>
      <c r="D30" s="585" t="s">
        <v>255</v>
      </c>
      <c r="E30" s="427"/>
    </row>
    <row r="31" spans="1:10">
      <c r="A31" s="585" t="s">
        <v>250</v>
      </c>
      <c r="C31" s="428">
        <f>C29/C30</f>
        <v>10.000000000000002</v>
      </c>
      <c r="D31" s="585" t="s">
        <v>256</v>
      </c>
    </row>
    <row r="32" spans="1:10">
      <c r="A32" s="585" t="s">
        <v>257</v>
      </c>
      <c r="C32" s="542"/>
      <c r="D32" s="585" t="s">
        <v>258</v>
      </c>
    </row>
    <row r="33" spans="1:13">
      <c r="A33" s="178"/>
      <c r="B33" s="585" t="s">
        <v>259</v>
      </c>
      <c r="C33" s="585">
        <v>100</v>
      </c>
      <c r="D33" s="585" t="s">
        <v>159</v>
      </c>
    </row>
    <row r="34" spans="1:13">
      <c r="A34" s="178"/>
      <c r="B34" s="585" t="s">
        <v>260</v>
      </c>
      <c r="C34" s="585">
        <f>C32*C31/C33</f>
        <v>0</v>
      </c>
      <c r="D34" s="585" t="s">
        <v>260</v>
      </c>
    </row>
    <row r="35" spans="1:13">
      <c r="A35" s="178"/>
      <c r="M35" s="207"/>
    </row>
    <row r="36" spans="1:13">
      <c r="A36" s="178"/>
      <c r="E36" s="1"/>
      <c r="F36" s="131" t="str">
        <f>F10</f>
        <v>NMHC/NMVOC</v>
      </c>
      <c r="G36" s="131" t="str">
        <f>G10</f>
        <v>NOx</v>
      </c>
      <c r="H36" s="131" t="str">
        <f>H10</f>
        <v>PM</v>
      </c>
    </row>
    <row r="37" spans="1:13">
      <c r="A37" s="178" t="s">
        <v>261</v>
      </c>
      <c r="B37" s="584" t="s">
        <v>247</v>
      </c>
      <c r="E37" s="585" t="s">
        <v>262</v>
      </c>
      <c r="F37" s="429">
        <f>VLOOKUP($B$37,$A$11:$H$17,6,FALSE)*$C$34</f>
        <v>0</v>
      </c>
      <c r="G37" s="429">
        <f>VLOOKUP($B$37,$A$11:$H$17,7,FALSE)*$C$34</f>
        <v>0</v>
      </c>
      <c r="H37" s="429">
        <f>VLOOKUP($B$37,$A$11:$H$17,8,FALSE)*$C$34</f>
        <v>0</v>
      </c>
    </row>
    <row r="38" spans="1:13">
      <c r="A38" s="178"/>
    </row>
    <row r="39" spans="1:13" ht="18">
      <c r="A39" s="178" t="s">
        <v>296</v>
      </c>
      <c r="B39" s="437">
        <v>3.169</v>
      </c>
      <c r="C39" s="178" t="s">
        <v>529</v>
      </c>
      <c r="D39" s="178"/>
    </row>
    <row r="40" spans="1:13">
      <c r="A40" s="178" t="s">
        <v>297</v>
      </c>
      <c r="B40" s="437">
        <v>840</v>
      </c>
      <c r="C40" s="178" t="s">
        <v>530</v>
      </c>
      <c r="D40" s="178"/>
    </row>
    <row r="41" spans="1:13" ht="18">
      <c r="A41" s="178" t="s">
        <v>298</v>
      </c>
      <c r="B41" s="437">
        <f>B39*(B40/B42)</f>
        <v>2.6619600000000001</v>
      </c>
      <c r="C41" s="178"/>
      <c r="D41" s="178"/>
    </row>
    <row r="42" spans="1:13">
      <c r="A42" s="178"/>
      <c r="B42" s="438">
        <f>10^3</f>
        <v>1000</v>
      </c>
      <c r="C42" s="178" t="s">
        <v>270</v>
      </c>
      <c r="D42" s="178"/>
    </row>
    <row r="43" spans="1:13" ht="18" hidden="1" outlineLevel="1">
      <c r="A43" s="441" t="s">
        <v>284</v>
      </c>
      <c r="B43" s="439">
        <v>2.7</v>
      </c>
      <c r="C43" s="440" t="s">
        <v>531</v>
      </c>
      <c r="D43" s="178"/>
    </row>
    <row r="44" spans="1:13" ht="18" collapsed="1">
      <c r="A44" s="178" t="s">
        <v>291</v>
      </c>
      <c r="B44" s="429">
        <f>B41*C32/C33</f>
        <v>0</v>
      </c>
    </row>
    <row r="45" spans="1:13" s="178" customFormat="1">
      <c r="B45" s="455"/>
    </row>
    <row r="46" spans="1:13" s="178" customFormat="1">
      <c r="A46" s="131" t="s">
        <v>634</v>
      </c>
      <c r="B46" s="131" t="str">
        <f>Założenia!E53</f>
        <v>NIE</v>
      </c>
    </row>
    <row r="47" spans="1:13" s="178" customFormat="1">
      <c r="B47" s="455"/>
    </row>
    <row r="48" spans="1:13" s="178" customFormat="1">
      <c r="A48" s="585" t="s">
        <v>250</v>
      </c>
      <c r="B48" s="585"/>
      <c r="C48" s="624">
        <v>36</v>
      </c>
      <c r="D48" s="585" t="s">
        <v>251</v>
      </c>
      <c r="E48" s="426" t="s">
        <v>252</v>
      </c>
    </row>
    <row r="49" spans="1:8" s="178" customFormat="1">
      <c r="A49" s="585" t="s">
        <v>253</v>
      </c>
      <c r="B49" s="14" t="s">
        <v>254</v>
      </c>
      <c r="C49" s="178">
        <f>1/$B$22</f>
        <v>3.5999999999999996</v>
      </c>
      <c r="D49" s="585" t="s">
        <v>255</v>
      </c>
    </row>
    <row r="50" spans="1:8" s="178" customFormat="1">
      <c r="A50" s="585" t="s">
        <v>250</v>
      </c>
      <c r="B50" s="585"/>
      <c r="C50" s="178">
        <f>C48/C49</f>
        <v>10.000000000000002</v>
      </c>
      <c r="D50" s="585" t="s">
        <v>256</v>
      </c>
    </row>
    <row r="51" spans="1:8" s="178" customFormat="1">
      <c r="A51" s="585" t="s">
        <v>257</v>
      </c>
      <c r="B51" s="585"/>
      <c r="C51" s="584"/>
      <c r="D51" s="585" t="s">
        <v>258</v>
      </c>
    </row>
    <row r="52" spans="1:8" s="178" customFormat="1">
      <c r="B52" s="585" t="s">
        <v>259</v>
      </c>
      <c r="C52" s="178">
        <v>100</v>
      </c>
      <c r="D52" s="585" t="s">
        <v>159</v>
      </c>
    </row>
    <row r="53" spans="1:8" s="178" customFormat="1">
      <c r="B53" s="585" t="s">
        <v>260</v>
      </c>
      <c r="C53" s="178">
        <f>C51*C50/C52</f>
        <v>0</v>
      </c>
      <c r="D53" s="585" t="s">
        <v>260</v>
      </c>
    </row>
    <row r="54" spans="1:8" s="178" customFormat="1">
      <c r="B54" s="585"/>
    </row>
    <row r="55" spans="1:8" s="178" customFormat="1">
      <c r="B55" s="585"/>
      <c r="F55" s="131" t="str">
        <f>F36</f>
        <v>NMHC/NMVOC</v>
      </c>
      <c r="G55" s="131" t="str">
        <f t="shared" ref="G55:H55" si="1">G36</f>
        <v>NOx</v>
      </c>
      <c r="H55" s="131" t="str">
        <f t="shared" si="1"/>
        <v>PM</v>
      </c>
    </row>
    <row r="56" spans="1:8" s="178" customFormat="1">
      <c r="A56" s="178" t="s">
        <v>261</v>
      </c>
      <c r="B56" s="584" t="s">
        <v>247</v>
      </c>
      <c r="E56" s="585" t="s">
        <v>262</v>
      </c>
      <c r="F56" s="429">
        <f>VLOOKUP($B$56,$A$11:$H$17,6,FALSE)*$C$53</f>
        <v>0</v>
      </c>
      <c r="G56" s="429">
        <f>VLOOKUP($B$56,$A$11:$H$17,7,FALSE)*$C$53</f>
        <v>0</v>
      </c>
      <c r="H56" s="429">
        <f>VLOOKUP($B$56,$A$11:$H$17,8,FALSE)*$C$53</f>
        <v>0</v>
      </c>
    </row>
    <row r="57" spans="1:8" s="178" customFormat="1">
      <c r="B57" s="455"/>
    </row>
    <row r="58" spans="1:8" s="178" customFormat="1" ht="18">
      <c r="A58" s="178" t="s">
        <v>296</v>
      </c>
      <c r="B58" s="437">
        <v>3.169</v>
      </c>
      <c r="C58" s="178" t="s">
        <v>529</v>
      </c>
    </row>
    <row r="59" spans="1:8" s="178" customFormat="1">
      <c r="A59" s="178" t="s">
        <v>297</v>
      </c>
      <c r="B59" s="437">
        <v>840</v>
      </c>
      <c r="C59" s="178" t="s">
        <v>530</v>
      </c>
    </row>
    <row r="60" spans="1:8" s="178" customFormat="1" ht="18">
      <c r="A60" s="178" t="s">
        <v>298</v>
      </c>
      <c r="B60" s="437">
        <f>B58*(B59/B61)</f>
        <v>2.6619600000000001</v>
      </c>
    </row>
    <row r="61" spans="1:8" s="178" customFormat="1">
      <c r="B61" s="438">
        <f>10^3</f>
        <v>1000</v>
      </c>
      <c r="C61" s="178" t="s">
        <v>270</v>
      </c>
    </row>
    <row r="62" spans="1:8" ht="18" hidden="1" outlineLevel="1">
      <c r="A62" s="441" t="s">
        <v>284</v>
      </c>
      <c r="B62" s="439">
        <v>2.7</v>
      </c>
      <c r="C62" s="585" t="s">
        <v>531</v>
      </c>
    </row>
    <row r="63" spans="1:8" ht="18" collapsed="1">
      <c r="A63" s="178" t="s">
        <v>291</v>
      </c>
      <c r="B63" s="429">
        <f>B60*C51/C52</f>
        <v>0</v>
      </c>
    </row>
    <row r="64" spans="1:8">
      <c r="A64" s="178"/>
      <c r="B64" s="455"/>
    </row>
    <row r="65" spans="1:8">
      <c r="A65" s="131" t="s">
        <v>635</v>
      </c>
      <c r="B65" s="131" t="str">
        <f>Założenia!F53</f>
        <v>NIE</v>
      </c>
    </row>
    <row r="66" spans="1:8">
      <c r="A66" s="178"/>
      <c r="B66" s="455"/>
    </row>
    <row r="67" spans="1:8">
      <c r="A67" s="585" t="s">
        <v>250</v>
      </c>
      <c r="C67" s="624">
        <v>36</v>
      </c>
      <c r="D67" s="585" t="s">
        <v>251</v>
      </c>
      <c r="E67" s="426" t="s">
        <v>252</v>
      </c>
    </row>
    <row r="68" spans="1:8">
      <c r="A68" s="585" t="s">
        <v>253</v>
      </c>
      <c r="B68" s="14" t="s">
        <v>254</v>
      </c>
      <c r="C68" s="585">
        <f>1/$B$22</f>
        <v>3.5999999999999996</v>
      </c>
      <c r="D68" s="585" t="s">
        <v>255</v>
      </c>
      <c r="E68" s="178"/>
    </row>
    <row r="69" spans="1:8">
      <c r="A69" s="585" t="s">
        <v>250</v>
      </c>
      <c r="C69" s="585">
        <f>C67/C68</f>
        <v>10.000000000000002</v>
      </c>
      <c r="D69" s="585" t="s">
        <v>256</v>
      </c>
      <c r="E69" s="178"/>
    </row>
    <row r="70" spans="1:8">
      <c r="A70" s="585" t="s">
        <v>257</v>
      </c>
      <c r="C70" s="584"/>
      <c r="D70" s="585" t="s">
        <v>258</v>
      </c>
      <c r="E70" s="178"/>
    </row>
    <row r="71" spans="1:8">
      <c r="A71" s="178"/>
      <c r="B71" s="585" t="s">
        <v>259</v>
      </c>
      <c r="C71" s="585">
        <v>100</v>
      </c>
      <c r="D71" s="585" t="s">
        <v>159</v>
      </c>
      <c r="E71" s="178"/>
    </row>
    <row r="72" spans="1:8">
      <c r="A72" s="178"/>
      <c r="B72" s="585" t="s">
        <v>260</v>
      </c>
      <c r="C72" s="585">
        <f>C70*C69/C71</f>
        <v>0</v>
      </c>
      <c r="D72" s="585" t="s">
        <v>260</v>
      </c>
      <c r="E72" s="178"/>
    </row>
    <row r="73" spans="1:8">
      <c r="A73" s="178"/>
    </row>
    <row r="74" spans="1:8">
      <c r="A74" s="178"/>
      <c r="E74" s="178"/>
      <c r="F74" s="131" t="str">
        <f>F55</f>
        <v>NMHC/NMVOC</v>
      </c>
      <c r="G74" s="131" t="str">
        <f t="shared" ref="G74:H74" si="2">G55</f>
        <v>NOx</v>
      </c>
      <c r="H74" s="131" t="str">
        <f t="shared" si="2"/>
        <v>PM</v>
      </c>
    </row>
    <row r="75" spans="1:8">
      <c r="A75" s="178" t="s">
        <v>261</v>
      </c>
      <c r="B75" s="584" t="s">
        <v>247</v>
      </c>
      <c r="E75" s="585" t="s">
        <v>262</v>
      </c>
      <c r="F75" s="429">
        <f>VLOOKUP($B$75,$A$11:$H$17,6,FALSE)*$C$72</f>
        <v>0</v>
      </c>
      <c r="G75" s="429">
        <f>VLOOKUP($B$75,$A$11:$H$17,7,FALSE)*$C$72</f>
        <v>0</v>
      </c>
      <c r="H75" s="429">
        <f>VLOOKUP($B$75,$A$11:$H$17,8,FALSE)*$C$72</f>
        <v>0</v>
      </c>
    </row>
    <row r="76" spans="1:8">
      <c r="A76" s="178"/>
      <c r="B76" s="455"/>
    </row>
    <row r="77" spans="1:8" ht="18">
      <c r="A77" s="178" t="s">
        <v>296</v>
      </c>
      <c r="B77" s="437">
        <v>3.169</v>
      </c>
      <c r="C77" s="178" t="s">
        <v>529</v>
      </c>
    </row>
    <row r="78" spans="1:8">
      <c r="A78" s="178" t="s">
        <v>297</v>
      </c>
      <c r="B78" s="437">
        <v>840</v>
      </c>
      <c r="C78" s="178" t="s">
        <v>530</v>
      </c>
    </row>
    <row r="79" spans="1:8" ht="18">
      <c r="A79" s="178" t="s">
        <v>298</v>
      </c>
      <c r="B79" s="437">
        <f>B77*(B78/B80)</f>
        <v>2.6619600000000001</v>
      </c>
      <c r="C79" s="178"/>
    </row>
    <row r="80" spans="1:8">
      <c r="A80" s="178"/>
      <c r="B80" s="438">
        <f>10^3</f>
        <v>1000</v>
      </c>
      <c r="C80" s="178" t="s">
        <v>270</v>
      </c>
    </row>
    <row r="81" spans="1:8" ht="18" hidden="1" outlineLevel="1">
      <c r="A81" s="441" t="s">
        <v>284</v>
      </c>
      <c r="B81" s="439">
        <v>2.7</v>
      </c>
      <c r="C81" s="585" t="s">
        <v>531</v>
      </c>
    </row>
    <row r="82" spans="1:8" ht="18" collapsed="1">
      <c r="A82" s="178" t="s">
        <v>291</v>
      </c>
      <c r="B82" s="429">
        <f>B79*C70/C71</f>
        <v>0</v>
      </c>
    </row>
    <row r="83" spans="1:8">
      <c r="A83" s="178"/>
    </row>
    <row r="84" spans="1:8">
      <c r="A84" s="131" t="s">
        <v>636</v>
      </c>
      <c r="B84" s="594" t="str">
        <f>Założenia!D55</f>
        <v>NIE</v>
      </c>
    </row>
    <row r="85" spans="1:8">
      <c r="A85" s="1"/>
    </row>
    <row r="86" spans="1:8" ht="17.25">
      <c r="A86" s="585" t="s">
        <v>264</v>
      </c>
      <c r="C86" s="624">
        <v>33</v>
      </c>
      <c r="D86" s="585" t="s">
        <v>285</v>
      </c>
      <c r="E86" s="426" t="s">
        <v>252</v>
      </c>
    </row>
    <row r="87" spans="1:8">
      <c r="A87" s="585" t="s">
        <v>253</v>
      </c>
      <c r="B87" s="14" t="s">
        <v>254</v>
      </c>
      <c r="C87" s="585">
        <f>1/$B$22</f>
        <v>3.5999999999999996</v>
      </c>
      <c r="D87" s="585" t="s">
        <v>255</v>
      </c>
    </row>
    <row r="88" spans="1:8" ht="17.25">
      <c r="A88" s="585" t="s">
        <v>264</v>
      </c>
      <c r="C88" s="428">
        <f>C86/C87</f>
        <v>9.1666666666666679</v>
      </c>
      <c r="D88" s="585" t="s">
        <v>286</v>
      </c>
    </row>
    <row r="89" spans="1:8">
      <c r="A89" s="585" t="s">
        <v>257</v>
      </c>
      <c r="C89" s="584"/>
      <c r="D89" s="585" t="s">
        <v>265</v>
      </c>
    </row>
    <row r="90" spans="1:8">
      <c r="B90" s="585" t="s">
        <v>259</v>
      </c>
      <c r="C90" s="585">
        <v>100</v>
      </c>
      <c r="D90" s="585" t="s">
        <v>159</v>
      </c>
    </row>
    <row r="91" spans="1:8">
      <c r="B91" s="585" t="s">
        <v>260</v>
      </c>
      <c r="C91" s="133">
        <f>C88*C89/C90</f>
        <v>0</v>
      </c>
      <c r="D91" s="585" t="s">
        <v>260</v>
      </c>
    </row>
    <row r="92" spans="1:8" ht="15" customHeight="1"/>
    <row r="93" spans="1:8">
      <c r="E93" s="1"/>
      <c r="F93" s="131" t="str">
        <f>F10</f>
        <v>NMHC/NMVOC</v>
      </c>
      <c r="G93" s="131" t="str">
        <f t="shared" ref="G93:H93" si="3">G10</f>
        <v>NOx</v>
      </c>
      <c r="H93" s="131" t="str">
        <f t="shared" si="3"/>
        <v>PM</v>
      </c>
    </row>
    <row r="94" spans="1:8">
      <c r="A94" s="585" t="s">
        <v>261</v>
      </c>
      <c r="B94" s="584" t="s">
        <v>247</v>
      </c>
      <c r="E94" s="585" t="s">
        <v>262</v>
      </c>
      <c r="F94" s="429">
        <f>VLOOKUP($B$94,$A$11:$H$17,6,FALSE)*$C$91</f>
        <v>0</v>
      </c>
      <c r="G94" s="429">
        <f>VLOOKUP($B$94,$A$11:$H$17,7,FALSE)*$C$91</f>
        <v>0</v>
      </c>
      <c r="H94" s="430">
        <f>VLOOKUP($B$94,$A$11:$H$17,8,FALSE)*$C$91</f>
        <v>0</v>
      </c>
    </row>
    <row r="95" spans="1:8" ht="18" hidden="1" outlineLevel="1">
      <c r="A95" s="441" t="s">
        <v>288</v>
      </c>
      <c r="B95" s="439">
        <v>2.7429999999999999</v>
      </c>
      <c r="C95" s="440" t="s">
        <v>529</v>
      </c>
    </row>
    <row r="96" spans="1:8" hidden="1" outlineLevel="1">
      <c r="A96" s="441" t="s">
        <v>268</v>
      </c>
      <c r="B96" s="439">
        <v>175</v>
      </c>
      <c r="C96" s="440" t="s">
        <v>530</v>
      </c>
    </row>
    <row r="97" spans="1:8" ht="18" hidden="1" outlineLevel="1">
      <c r="A97" s="441" t="s">
        <v>289</v>
      </c>
      <c r="B97" s="439">
        <f>B95*(B96/B99)</f>
        <v>0.48002499999999992</v>
      </c>
      <c r="C97" s="440"/>
    </row>
    <row r="98" spans="1:8" ht="18.75" hidden="1" outlineLevel="1">
      <c r="A98" s="441" t="s">
        <v>290</v>
      </c>
      <c r="B98" s="439">
        <f>B97*B100</f>
        <v>480.02499999999992</v>
      </c>
      <c r="C98" s="440"/>
    </row>
    <row r="99" spans="1:8" collapsed="1">
      <c r="A99" s="178"/>
      <c r="B99" s="438">
        <f>10^3</f>
        <v>1000</v>
      </c>
      <c r="C99" s="178" t="s">
        <v>270</v>
      </c>
    </row>
    <row r="100" spans="1:8" ht="17.25">
      <c r="A100" s="178"/>
      <c r="B100" s="438">
        <f>10^3</f>
        <v>1000</v>
      </c>
      <c r="C100" s="178" t="s">
        <v>287</v>
      </c>
    </row>
    <row r="101" spans="1:8" ht="18.75">
      <c r="A101" s="442" t="s">
        <v>299</v>
      </c>
      <c r="B101" s="443">
        <v>1.9</v>
      </c>
      <c r="C101" s="347" t="s">
        <v>531</v>
      </c>
      <c r="E101" s="431"/>
      <c r="F101" s="431"/>
      <c r="G101" s="431"/>
      <c r="H101" s="432"/>
    </row>
    <row r="102" spans="1:8" ht="18">
      <c r="A102" s="585" t="s">
        <v>291</v>
      </c>
      <c r="B102" s="429">
        <f>B101*C89/C90</f>
        <v>0</v>
      </c>
      <c r="E102" s="431"/>
      <c r="F102" s="431"/>
      <c r="G102" s="431"/>
      <c r="H102" s="432"/>
    </row>
    <row r="103" spans="1:8">
      <c r="E103" s="431"/>
      <c r="F103" s="431"/>
      <c r="G103" s="431"/>
      <c r="H103" s="432"/>
    </row>
    <row r="104" spans="1:8">
      <c r="A104" s="131" t="s">
        <v>637</v>
      </c>
      <c r="B104" s="594" t="str">
        <f>Założenia!E55</f>
        <v>NIE</v>
      </c>
      <c r="E104" s="431"/>
      <c r="F104" s="431"/>
      <c r="G104" s="431"/>
      <c r="H104" s="432"/>
    </row>
    <row r="105" spans="1:8">
      <c r="E105" s="431"/>
      <c r="F105" s="431"/>
      <c r="G105" s="431"/>
      <c r="H105" s="432"/>
    </row>
    <row r="106" spans="1:8" ht="17.25">
      <c r="A106" s="585" t="s">
        <v>264</v>
      </c>
      <c r="C106" s="624">
        <v>33</v>
      </c>
      <c r="D106" s="585" t="s">
        <v>285</v>
      </c>
      <c r="E106" s="426" t="s">
        <v>252</v>
      </c>
      <c r="F106" s="431"/>
      <c r="G106" s="431"/>
      <c r="H106" s="432"/>
    </row>
    <row r="107" spans="1:8">
      <c r="A107" s="585" t="s">
        <v>253</v>
      </c>
      <c r="B107" s="14" t="s">
        <v>254</v>
      </c>
      <c r="C107" s="585">
        <f>1/$B$22</f>
        <v>3.5999999999999996</v>
      </c>
      <c r="D107" s="585" t="s">
        <v>255</v>
      </c>
      <c r="F107" s="431"/>
      <c r="G107" s="431"/>
      <c r="H107" s="432"/>
    </row>
    <row r="108" spans="1:8" ht="17.25">
      <c r="A108" s="585" t="s">
        <v>264</v>
      </c>
      <c r="C108" s="428">
        <f>C106/C107</f>
        <v>9.1666666666666679</v>
      </c>
      <c r="D108" s="585" t="s">
        <v>286</v>
      </c>
      <c r="F108" s="431"/>
      <c r="G108" s="431"/>
      <c r="H108" s="432"/>
    </row>
    <row r="109" spans="1:8">
      <c r="A109" s="585" t="s">
        <v>257</v>
      </c>
      <c r="C109" s="584"/>
      <c r="D109" s="585" t="s">
        <v>265</v>
      </c>
      <c r="F109" s="431"/>
      <c r="G109" s="431"/>
      <c r="H109" s="432"/>
    </row>
    <row r="110" spans="1:8">
      <c r="B110" s="585" t="s">
        <v>259</v>
      </c>
      <c r="C110" s="585">
        <v>100</v>
      </c>
      <c r="D110" s="585" t="s">
        <v>159</v>
      </c>
      <c r="F110" s="431"/>
      <c r="G110" s="431"/>
      <c r="H110" s="432"/>
    </row>
    <row r="111" spans="1:8">
      <c r="B111" s="585" t="s">
        <v>260</v>
      </c>
      <c r="C111" s="133">
        <f>C108*C109/C110</f>
        <v>0</v>
      </c>
      <c r="D111" s="585" t="s">
        <v>260</v>
      </c>
      <c r="F111" s="431"/>
      <c r="G111" s="431"/>
      <c r="H111" s="432"/>
    </row>
    <row r="112" spans="1:8">
      <c r="F112" s="431"/>
      <c r="G112" s="431"/>
      <c r="H112" s="432"/>
    </row>
    <row r="113" spans="1:8">
      <c r="E113" s="1"/>
      <c r="F113" s="131" t="str">
        <f>F93</f>
        <v>NMHC/NMVOC</v>
      </c>
      <c r="G113" s="131" t="str">
        <f t="shared" ref="G113:H113" si="4">G93</f>
        <v>NOx</v>
      </c>
      <c r="H113" s="131" t="str">
        <f t="shared" si="4"/>
        <v>PM</v>
      </c>
    </row>
    <row r="114" spans="1:8">
      <c r="A114" s="585" t="s">
        <v>261</v>
      </c>
      <c r="B114" s="584" t="s">
        <v>247</v>
      </c>
      <c r="E114" s="585" t="s">
        <v>262</v>
      </c>
      <c r="F114" s="429">
        <f>VLOOKUP($B$114,$A$11:$H$17,6,FALSE)*$C$111</f>
        <v>0</v>
      </c>
      <c r="G114" s="429">
        <f>VLOOKUP($B$114,$A$11:$H$17,7,FALSE)*$C$111</f>
        <v>0</v>
      </c>
      <c r="H114" s="429">
        <f>VLOOKUP($B$114,$A$11:$H$17,8,FALSE)*$C$111</f>
        <v>0</v>
      </c>
    </row>
    <row r="115" spans="1:8" ht="18" hidden="1" outlineLevel="1">
      <c r="A115" s="441" t="s">
        <v>288</v>
      </c>
      <c r="B115" s="439">
        <v>2.7429999999999999</v>
      </c>
      <c r="C115" s="440" t="s">
        <v>529</v>
      </c>
      <c r="E115" s="431"/>
      <c r="F115" s="431"/>
      <c r="G115" s="431"/>
      <c r="H115" s="432"/>
    </row>
    <row r="116" spans="1:8" hidden="1" outlineLevel="1">
      <c r="A116" s="441" t="s">
        <v>268</v>
      </c>
      <c r="B116" s="439">
        <v>175</v>
      </c>
      <c r="C116" s="440" t="s">
        <v>530</v>
      </c>
      <c r="E116" s="431"/>
      <c r="F116" s="431"/>
      <c r="G116" s="431"/>
      <c r="H116" s="432"/>
    </row>
    <row r="117" spans="1:8" ht="18" hidden="1" outlineLevel="1">
      <c r="A117" s="441" t="s">
        <v>289</v>
      </c>
      <c r="B117" s="439">
        <f>B115*(B116/B119)</f>
        <v>0.48002499999999992</v>
      </c>
      <c r="C117" s="440"/>
      <c r="E117" s="431"/>
      <c r="F117" s="431"/>
      <c r="G117" s="431"/>
      <c r="H117" s="432"/>
    </row>
    <row r="118" spans="1:8" ht="18.75" hidden="1" outlineLevel="1">
      <c r="A118" s="441" t="s">
        <v>290</v>
      </c>
      <c r="B118" s="439">
        <f>B117*B120</f>
        <v>480.02499999999992</v>
      </c>
      <c r="C118" s="440"/>
      <c r="E118" s="431"/>
      <c r="F118" s="431"/>
      <c r="G118" s="431"/>
      <c r="H118" s="432"/>
    </row>
    <row r="119" spans="1:8" collapsed="1">
      <c r="A119" s="178"/>
      <c r="B119" s="438">
        <f>10^3</f>
        <v>1000</v>
      </c>
      <c r="C119" s="178" t="s">
        <v>270</v>
      </c>
      <c r="E119" s="431"/>
      <c r="F119" s="431"/>
      <c r="G119" s="431"/>
      <c r="H119" s="432"/>
    </row>
    <row r="120" spans="1:8" ht="17.25">
      <c r="A120" s="178"/>
      <c r="B120" s="438">
        <f>10^3</f>
        <v>1000</v>
      </c>
      <c r="C120" s="178" t="s">
        <v>287</v>
      </c>
      <c r="E120" s="431"/>
      <c r="F120" s="431"/>
      <c r="G120" s="431"/>
      <c r="H120" s="432"/>
    </row>
    <row r="121" spans="1:8" ht="18.75">
      <c r="A121" s="442" t="s">
        <v>299</v>
      </c>
      <c r="B121" s="443">
        <v>1.9</v>
      </c>
      <c r="C121" s="347" t="s">
        <v>531</v>
      </c>
      <c r="E121" s="431"/>
      <c r="F121" s="431"/>
      <c r="G121" s="431"/>
      <c r="H121" s="432"/>
    </row>
    <row r="122" spans="1:8" ht="18">
      <c r="A122" s="585" t="s">
        <v>291</v>
      </c>
      <c r="B122" s="429">
        <f>B121*C109/C110</f>
        <v>0</v>
      </c>
      <c r="E122" s="431"/>
      <c r="F122" s="431"/>
      <c r="G122" s="431"/>
      <c r="H122" s="432"/>
    </row>
    <row r="123" spans="1:8">
      <c r="E123" s="431"/>
      <c r="F123" s="431"/>
      <c r="G123" s="431"/>
      <c r="H123" s="432"/>
    </row>
    <row r="124" spans="1:8">
      <c r="A124" s="131" t="s">
        <v>639</v>
      </c>
      <c r="B124" s="594" t="str">
        <f>Założenia!F55</f>
        <v>NIE</v>
      </c>
      <c r="E124" s="431"/>
      <c r="F124" s="431"/>
      <c r="G124" s="431"/>
      <c r="H124" s="432"/>
    </row>
    <row r="125" spans="1:8">
      <c r="E125" s="431"/>
      <c r="F125" s="431"/>
      <c r="G125" s="431"/>
      <c r="H125" s="432"/>
    </row>
    <row r="126" spans="1:8" ht="17.25">
      <c r="A126" s="585" t="s">
        <v>264</v>
      </c>
      <c r="C126" s="624">
        <v>33</v>
      </c>
      <c r="D126" s="585" t="s">
        <v>285</v>
      </c>
      <c r="E126" s="426" t="s">
        <v>252</v>
      </c>
      <c r="F126" s="431"/>
      <c r="G126" s="431"/>
      <c r="H126" s="432"/>
    </row>
    <row r="127" spans="1:8">
      <c r="A127" s="585" t="s">
        <v>253</v>
      </c>
      <c r="B127" s="14" t="s">
        <v>254</v>
      </c>
      <c r="C127" s="585">
        <f>1/$B$22</f>
        <v>3.5999999999999996</v>
      </c>
      <c r="D127" s="585" t="s">
        <v>255</v>
      </c>
      <c r="F127" s="431"/>
      <c r="G127" s="431"/>
      <c r="H127" s="432"/>
    </row>
    <row r="128" spans="1:8" ht="17.25">
      <c r="A128" s="585" t="s">
        <v>264</v>
      </c>
      <c r="C128" s="428">
        <f>C126/C127</f>
        <v>9.1666666666666679</v>
      </c>
      <c r="D128" s="585" t="s">
        <v>286</v>
      </c>
      <c r="F128" s="431"/>
      <c r="G128" s="431"/>
      <c r="H128" s="432"/>
    </row>
    <row r="129" spans="1:8">
      <c r="A129" s="585" t="s">
        <v>257</v>
      </c>
      <c r="C129" s="584"/>
      <c r="D129" s="585" t="s">
        <v>265</v>
      </c>
      <c r="F129" s="431"/>
      <c r="G129" s="431"/>
      <c r="H129" s="432"/>
    </row>
    <row r="130" spans="1:8">
      <c r="B130" s="585" t="s">
        <v>259</v>
      </c>
      <c r="C130" s="585">
        <v>100</v>
      </c>
      <c r="D130" s="585" t="s">
        <v>159</v>
      </c>
      <c r="F130" s="431"/>
      <c r="G130" s="431"/>
      <c r="H130" s="432"/>
    </row>
    <row r="131" spans="1:8">
      <c r="B131" s="585" t="s">
        <v>260</v>
      </c>
      <c r="C131" s="133">
        <f>C128*C129/C130</f>
        <v>0</v>
      </c>
      <c r="D131" s="585" t="s">
        <v>260</v>
      </c>
      <c r="F131" s="431"/>
      <c r="G131" s="431"/>
      <c r="H131" s="432"/>
    </row>
    <row r="132" spans="1:8">
      <c r="F132" s="431"/>
      <c r="G132" s="431"/>
      <c r="H132" s="432"/>
    </row>
    <row r="133" spans="1:8">
      <c r="E133" s="1"/>
      <c r="F133" s="131" t="str">
        <f>F113</f>
        <v>NMHC/NMVOC</v>
      </c>
      <c r="G133" s="131" t="str">
        <f t="shared" ref="G133:H133" si="5">G113</f>
        <v>NOx</v>
      </c>
      <c r="H133" s="131" t="str">
        <f t="shared" si="5"/>
        <v>PM</v>
      </c>
    </row>
    <row r="134" spans="1:8">
      <c r="A134" s="585" t="s">
        <v>261</v>
      </c>
      <c r="B134" s="584" t="s">
        <v>247</v>
      </c>
      <c r="E134" s="585" t="s">
        <v>262</v>
      </c>
      <c r="F134" s="429">
        <f>VLOOKUP($B$134,$A$11:$H$17,6,FALSE)*$C$131</f>
        <v>0</v>
      </c>
      <c r="G134" s="429">
        <f>VLOOKUP($B$134,$A$11:$H$17,7,FALSE)*$C$131</f>
        <v>0</v>
      </c>
      <c r="H134" s="429">
        <f>VLOOKUP($B$134,$A$11:$H$17,8,FALSE)*$C$131</f>
        <v>0</v>
      </c>
    </row>
    <row r="135" spans="1:8" ht="18" hidden="1" outlineLevel="1">
      <c r="A135" s="441" t="s">
        <v>288</v>
      </c>
      <c r="B135" s="439">
        <v>2.7429999999999999</v>
      </c>
      <c r="C135" s="440" t="s">
        <v>529</v>
      </c>
      <c r="E135" s="431"/>
      <c r="F135" s="431"/>
      <c r="G135" s="431"/>
      <c r="H135" s="432"/>
    </row>
    <row r="136" spans="1:8" hidden="1" outlineLevel="1">
      <c r="A136" s="441" t="s">
        <v>268</v>
      </c>
      <c r="B136" s="439">
        <v>175</v>
      </c>
      <c r="C136" s="440" t="s">
        <v>530</v>
      </c>
      <c r="E136" s="431"/>
      <c r="F136" s="431"/>
      <c r="G136" s="431"/>
      <c r="H136" s="432"/>
    </row>
    <row r="137" spans="1:8" ht="18" hidden="1" outlineLevel="1">
      <c r="A137" s="441" t="s">
        <v>289</v>
      </c>
      <c r="B137" s="439">
        <f>B135*(B136/B139)</f>
        <v>0.48002499999999992</v>
      </c>
      <c r="C137" s="440"/>
      <c r="E137" s="431"/>
      <c r="F137" s="431"/>
      <c r="G137" s="431"/>
      <c r="H137" s="432"/>
    </row>
    <row r="138" spans="1:8" ht="18.75" hidden="1" outlineLevel="1">
      <c r="A138" s="441" t="s">
        <v>290</v>
      </c>
      <c r="B138" s="439">
        <f>B137*B140</f>
        <v>480.02499999999992</v>
      </c>
      <c r="C138" s="440"/>
      <c r="E138" s="431"/>
      <c r="F138" s="431"/>
      <c r="G138" s="431"/>
      <c r="H138" s="432"/>
    </row>
    <row r="139" spans="1:8" collapsed="1">
      <c r="A139" s="178"/>
      <c r="B139" s="438">
        <f>10^3</f>
        <v>1000</v>
      </c>
      <c r="C139" s="178" t="s">
        <v>270</v>
      </c>
      <c r="E139" s="431"/>
      <c r="F139" s="431"/>
      <c r="G139" s="431"/>
      <c r="H139" s="432"/>
    </row>
    <row r="140" spans="1:8" ht="17.25">
      <c r="A140" s="178"/>
      <c r="B140" s="438">
        <f>10^3</f>
        <v>1000</v>
      </c>
      <c r="C140" s="178" t="s">
        <v>287</v>
      </c>
      <c r="E140" s="431"/>
      <c r="F140" s="431"/>
      <c r="G140" s="431"/>
      <c r="H140" s="432"/>
    </row>
    <row r="141" spans="1:8" ht="18.75">
      <c r="A141" s="442" t="s">
        <v>299</v>
      </c>
      <c r="B141" s="443">
        <v>1.9</v>
      </c>
      <c r="C141" s="347" t="s">
        <v>531</v>
      </c>
      <c r="E141" s="431"/>
      <c r="F141" s="431"/>
      <c r="G141" s="431"/>
      <c r="H141" s="432"/>
    </row>
    <row r="142" spans="1:8" ht="18">
      <c r="A142" s="585" t="s">
        <v>291</v>
      </c>
      <c r="B142" s="429">
        <f>B141*C129/C130</f>
        <v>0</v>
      </c>
      <c r="E142" s="431"/>
      <c r="F142" s="431"/>
      <c r="G142" s="431"/>
      <c r="H142" s="432"/>
    </row>
    <row r="143" spans="1:8">
      <c r="E143" s="431"/>
      <c r="F143" s="431"/>
      <c r="G143" s="431"/>
      <c r="H143" s="432"/>
    </row>
    <row r="144" spans="1:8">
      <c r="A144" s="131" t="s">
        <v>640</v>
      </c>
      <c r="B144" s="594" t="str">
        <f>Założenia!D57</f>
        <v>NIE</v>
      </c>
      <c r="E144" s="431"/>
      <c r="F144" s="431"/>
      <c r="G144" s="431"/>
      <c r="H144" s="432"/>
    </row>
    <row r="145" spans="1:8">
      <c r="E145" s="431"/>
      <c r="F145" s="431"/>
      <c r="G145" s="431"/>
      <c r="H145" s="432"/>
    </row>
    <row r="146" spans="1:8">
      <c r="A146" s="585" t="s">
        <v>600</v>
      </c>
      <c r="C146" s="624">
        <v>24</v>
      </c>
      <c r="D146" s="585" t="s">
        <v>251</v>
      </c>
      <c r="E146" s="431" t="s">
        <v>252</v>
      </c>
      <c r="F146" s="431"/>
      <c r="G146" s="431"/>
      <c r="H146" s="432"/>
    </row>
    <row r="147" spans="1:8">
      <c r="A147" s="585" t="s">
        <v>253</v>
      </c>
      <c r="C147" s="585">
        <f>1/$B$22</f>
        <v>3.5999999999999996</v>
      </c>
      <c r="D147" s="585" t="s">
        <v>255</v>
      </c>
      <c r="E147" s="431"/>
      <c r="F147" s="431"/>
      <c r="G147" s="431"/>
      <c r="H147" s="432"/>
    </row>
    <row r="148" spans="1:8">
      <c r="A148" s="585" t="s">
        <v>600</v>
      </c>
      <c r="C148" s="428">
        <f>C146/C147</f>
        <v>6.666666666666667</v>
      </c>
      <c r="D148" s="585" t="s">
        <v>256</v>
      </c>
      <c r="E148" s="431"/>
      <c r="F148" s="431"/>
      <c r="G148" s="431"/>
      <c r="H148" s="432"/>
    </row>
    <row r="149" spans="1:8">
      <c r="A149" s="585" t="s">
        <v>257</v>
      </c>
      <c r="C149" s="584"/>
      <c r="D149" s="585" t="s">
        <v>258</v>
      </c>
      <c r="E149" s="431"/>
      <c r="F149" s="431"/>
      <c r="G149" s="431"/>
      <c r="H149" s="432"/>
    </row>
    <row r="150" spans="1:8">
      <c r="B150" s="585" t="s">
        <v>259</v>
      </c>
      <c r="C150" s="585">
        <v>100</v>
      </c>
      <c r="D150" s="585" t="s">
        <v>159</v>
      </c>
      <c r="E150" s="431"/>
      <c r="F150" s="431"/>
      <c r="G150" s="431"/>
      <c r="H150" s="432"/>
    </row>
    <row r="151" spans="1:8">
      <c r="B151" s="585" t="s">
        <v>260</v>
      </c>
      <c r="C151" s="428">
        <f>C148*C149/C150</f>
        <v>0</v>
      </c>
      <c r="D151" s="585" t="s">
        <v>260</v>
      </c>
      <c r="E151" s="431"/>
      <c r="F151" s="431"/>
      <c r="G151" s="431"/>
      <c r="H151" s="432"/>
    </row>
    <row r="152" spans="1:8">
      <c r="E152" s="431"/>
      <c r="F152" s="431"/>
      <c r="G152" s="431"/>
      <c r="H152" s="432"/>
    </row>
    <row r="153" spans="1:8">
      <c r="E153" s="431"/>
      <c r="F153" s="131" t="str">
        <f>F10</f>
        <v>NMHC/NMVOC</v>
      </c>
      <c r="G153" s="131" t="str">
        <f t="shared" ref="G153:H153" si="6">G10</f>
        <v>NOx</v>
      </c>
      <c r="H153" s="131" t="str">
        <f t="shared" si="6"/>
        <v>PM</v>
      </c>
    </row>
    <row r="154" spans="1:8">
      <c r="A154" s="585" t="s">
        <v>261</v>
      </c>
      <c r="B154" s="584" t="s">
        <v>247</v>
      </c>
      <c r="E154" s="431" t="s">
        <v>262</v>
      </c>
      <c r="F154" s="574">
        <f>VLOOKUP($B$154,$A$11:$H$17,6,FALSE)*$C$151</f>
        <v>0</v>
      </c>
      <c r="G154" s="574">
        <f>VLOOKUP($B$154,$A$11:$H$17,7,FALSE)*$C$151</f>
        <v>0</v>
      </c>
      <c r="H154" s="576">
        <f>VLOOKUP($B$154,$A$11:$H$17,8,FALSE)*$C$151</f>
        <v>0</v>
      </c>
    </row>
    <row r="155" spans="1:8" ht="18">
      <c r="A155" s="602" t="s">
        <v>296</v>
      </c>
      <c r="B155" s="585">
        <v>3.024</v>
      </c>
      <c r="C155" s="178" t="s">
        <v>529</v>
      </c>
      <c r="E155" s="431"/>
      <c r="F155" s="431"/>
      <c r="G155" s="431"/>
      <c r="H155" s="432"/>
    </row>
    <row r="156" spans="1:8">
      <c r="A156" s="602" t="s">
        <v>297</v>
      </c>
      <c r="B156" s="585">
        <v>520</v>
      </c>
      <c r="C156" s="178" t="s">
        <v>530</v>
      </c>
      <c r="E156" s="431"/>
      <c r="F156" s="431"/>
      <c r="G156" s="431"/>
      <c r="H156" s="432"/>
    </row>
    <row r="157" spans="1:8" ht="18">
      <c r="A157" s="602" t="s">
        <v>298</v>
      </c>
      <c r="B157" s="428">
        <f>B155*(B156/B158)</f>
        <v>1.5724800000000001</v>
      </c>
      <c r="E157" s="431"/>
      <c r="F157" s="431"/>
      <c r="G157" s="431"/>
      <c r="H157" s="432"/>
    </row>
    <row r="158" spans="1:8">
      <c r="A158" s="602"/>
      <c r="B158" s="585">
        <f>10^3</f>
        <v>1000</v>
      </c>
      <c r="C158" s="178" t="s">
        <v>270</v>
      </c>
      <c r="E158" s="431"/>
      <c r="F158" s="431"/>
      <c r="G158" s="431"/>
      <c r="H158" s="432"/>
    </row>
    <row r="159" spans="1:8" ht="18" hidden="1" outlineLevel="1">
      <c r="A159" s="441" t="s">
        <v>284</v>
      </c>
      <c r="B159" s="439">
        <v>1.6</v>
      </c>
      <c r="C159" s="440" t="s">
        <v>531</v>
      </c>
      <c r="E159" s="431"/>
      <c r="F159" s="431"/>
      <c r="G159" s="431"/>
      <c r="H159" s="432"/>
    </row>
    <row r="160" spans="1:8" ht="18" collapsed="1">
      <c r="A160" s="602" t="s">
        <v>291</v>
      </c>
      <c r="B160" s="575">
        <f>B157*C149/C150</f>
        <v>0</v>
      </c>
      <c r="E160" s="431"/>
      <c r="F160" s="431"/>
      <c r="G160" s="431"/>
      <c r="H160" s="432"/>
    </row>
    <row r="161" spans="1:8">
      <c r="B161" s="581"/>
      <c r="E161" s="431"/>
      <c r="F161" s="431"/>
      <c r="G161" s="431"/>
      <c r="H161" s="432"/>
    </row>
    <row r="162" spans="1:8">
      <c r="A162" s="131" t="s">
        <v>642</v>
      </c>
      <c r="B162" s="594" t="str">
        <f>Założenia!E57</f>
        <v>NIE</v>
      </c>
      <c r="E162" s="431"/>
      <c r="F162" s="431"/>
      <c r="G162" s="431"/>
      <c r="H162" s="432"/>
    </row>
    <row r="163" spans="1:8">
      <c r="B163" s="581"/>
      <c r="E163" s="431"/>
      <c r="F163" s="431"/>
      <c r="G163" s="431"/>
      <c r="H163" s="432"/>
    </row>
    <row r="164" spans="1:8">
      <c r="A164" s="585" t="s">
        <v>600</v>
      </c>
      <c r="C164" s="624">
        <v>24</v>
      </c>
      <c r="D164" s="585" t="s">
        <v>251</v>
      </c>
      <c r="E164" s="431" t="s">
        <v>252</v>
      </c>
      <c r="F164" s="431"/>
      <c r="G164" s="431"/>
      <c r="H164" s="432"/>
    </row>
    <row r="165" spans="1:8">
      <c r="A165" s="585" t="s">
        <v>253</v>
      </c>
      <c r="C165" s="585">
        <f>1/$B$22</f>
        <v>3.5999999999999996</v>
      </c>
      <c r="D165" s="585" t="s">
        <v>255</v>
      </c>
      <c r="E165" s="431"/>
      <c r="F165" s="431"/>
      <c r="G165" s="431"/>
      <c r="H165" s="432"/>
    </row>
    <row r="166" spans="1:8">
      <c r="A166" s="585" t="s">
        <v>600</v>
      </c>
      <c r="C166" s="428">
        <f>C164/C165</f>
        <v>6.666666666666667</v>
      </c>
      <c r="D166" s="585" t="s">
        <v>256</v>
      </c>
      <c r="E166" s="431"/>
      <c r="F166" s="431"/>
      <c r="G166" s="431"/>
      <c r="H166" s="432"/>
    </row>
    <row r="167" spans="1:8">
      <c r="A167" s="585" t="s">
        <v>257</v>
      </c>
      <c r="C167" s="584"/>
      <c r="D167" s="585" t="s">
        <v>258</v>
      </c>
      <c r="E167" s="431"/>
      <c r="F167" s="431"/>
      <c r="G167" s="431"/>
      <c r="H167" s="432"/>
    </row>
    <row r="168" spans="1:8">
      <c r="B168" s="585" t="s">
        <v>259</v>
      </c>
      <c r="C168" s="585">
        <v>100</v>
      </c>
      <c r="D168" s="585" t="s">
        <v>159</v>
      </c>
      <c r="E168" s="431"/>
      <c r="F168" s="431"/>
      <c r="G168" s="431"/>
      <c r="H168" s="432"/>
    </row>
    <row r="169" spans="1:8">
      <c r="B169" s="585" t="s">
        <v>260</v>
      </c>
      <c r="C169" s="428">
        <f>C166*C167/C168</f>
        <v>0</v>
      </c>
      <c r="D169" s="585" t="s">
        <v>260</v>
      </c>
      <c r="E169" s="431"/>
      <c r="F169" s="431"/>
      <c r="G169" s="431"/>
      <c r="H169" s="432"/>
    </row>
    <row r="170" spans="1:8">
      <c r="E170" s="431"/>
      <c r="F170" s="431"/>
      <c r="G170" s="431"/>
      <c r="H170" s="432"/>
    </row>
    <row r="171" spans="1:8">
      <c r="E171" s="431"/>
      <c r="F171" s="131" t="str">
        <f>F153</f>
        <v>NMHC/NMVOC</v>
      </c>
      <c r="G171" s="131" t="str">
        <f t="shared" ref="G171:H171" si="7">G153</f>
        <v>NOx</v>
      </c>
      <c r="H171" s="131" t="str">
        <f t="shared" si="7"/>
        <v>PM</v>
      </c>
    </row>
    <row r="172" spans="1:8">
      <c r="A172" s="585" t="s">
        <v>261</v>
      </c>
      <c r="B172" s="584" t="s">
        <v>247</v>
      </c>
      <c r="E172" s="431" t="s">
        <v>262</v>
      </c>
      <c r="F172" s="574">
        <f>VLOOKUP($B$172,$A$11:$H$17,6,FALSE)*$C$169</f>
        <v>0</v>
      </c>
      <c r="G172" s="574">
        <f>VLOOKUP($B$172,$A$11:$H$17,7,FALSE)*$C$169</f>
        <v>0</v>
      </c>
      <c r="H172" s="576">
        <f>VLOOKUP($B$172,$A$11:$H$17,8,FALSE)*$C$169</f>
        <v>0</v>
      </c>
    </row>
    <row r="173" spans="1:8" ht="18">
      <c r="A173" s="602" t="s">
        <v>296</v>
      </c>
      <c r="B173" s="585">
        <v>3.024</v>
      </c>
      <c r="C173" s="178" t="s">
        <v>529</v>
      </c>
      <c r="E173" s="431"/>
      <c r="F173" s="431"/>
      <c r="G173" s="431"/>
      <c r="H173" s="432"/>
    </row>
    <row r="174" spans="1:8">
      <c r="A174" s="602" t="s">
        <v>297</v>
      </c>
      <c r="B174" s="585">
        <v>520</v>
      </c>
      <c r="C174" s="178" t="s">
        <v>530</v>
      </c>
      <c r="E174" s="431"/>
      <c r="F174" s="431"/>
      <c r="G174" s="431"/>
      <c r="H174" s="432"/>
    </row>
    <row r="175" spans="1:8" ht="18">
      <c r="A175" s="602" t="s">
        <v>298</v>
      </c>
      <c r="B175" s="428">
        <f>B173*(B174/B176)</f>
        <v>1.5724800000000001</v>
      </c>
      <c r="E175" s="431"/>
      <c r="F175" s="431"/>
      <c r="G175" s="431"/>
      <c r="H175" s="432"/>
    </row>
    <row r="176" spans="1:8">
      <c r="A176" s="602"/>
      <c r="B176" s="585">
        <f>10^3</f>
        <v>1000</v>
      </c>
      <c r="C176" s="178" t="s">
        <v>270</v>
      </c>
      <c r="E176" s="431"/>
      <c r="F176" s="431"/>
      <c r="G176" s="431"/>
      <c r="H176" s="432"/>
    </row>
    <row r="177" spans="1:8" ht="18" hidden="1" outlineLevel="1">
      <c r="A177" s="441" t="s">
        <v>284</v>
      </c>
      <c r="B177" s="439">
        <v>1.6</v>
      </c>
      <c r="C177" s="440" t="s">
        <v>531</v>
      </c>
      <c r="E177" s="431"/>
      <c r="F177" s="431"/>
      <c r="G177" s="431"/>
      <c r="H177" s="432"/>
    </row>
    <row r="178" spans="1:8" ht="18" collapsed="1">
      <c r="A178" s="602" t="s">
        <v>291</v>
      </c>
      <c r="B178" s="575">
        <f>B175*C167/C168</f>
        <v>0</v>
      </c>
      <c r="E178" s="431"/>
      <c r="F178" s="431"/>
      <c r="G178" s="431"/>
      <c r="H178" s="432"/>
    </row>
    <row r="179" spans="1:8">
      <c r="B179" s="581"/>
      <c r="E179" s="431"/>
      <c r="F179" s="431"/>
      <c r="G179" s="431"/>
      <c r="H179" s="432"/>
    </row>
    <row r="180" spans="1:8">
      <c r="A180" s="131" t="s">
        <v>641</v>
      </c>
      <c r="B180" s="594" t="str">
        <f>Założenia!F57</f>
        <v>NIE</v>
      </c>
      <c r="E180" s="431"/>
      <c r="F180" s="431"/>
      <c r="G180" s="431"/>
      <c r="H180" s="432"/>
    </row>
    <row r="181" spans="1:8">
      <c r="B181" s="581"/>
      <c r="E181" s="431"/>
      <c r="F181" s="431"/>
      <c r="G181" s="431"/>
      <c r="H181" s="432"/>
    </row>
    <row r="182" spans="1:8">
      <c r="A182" s="585" t="s">
        <v>600</v>
      </c>
      <c r="C182" s="624">
        <v>24</v>
      </c>
      <c r="D182" s="585" t="s">
        <v>251</v>
      </c>
      <c r="E182" s="431" t="s">
        <v>252</v>
      </c>
      <c r="F182" s="431"/>
      <c r="G182" s="431"/>
      <c r="H182" s="432"/>
    </row>
    <row r="183" spans="1:8">
      <c r="A183" s="585" t="s">
        <v>253</v>
      </c>
      <c r="C183" s="585">
        <f>1/$B$22</f>
        <v>3.5999999999999996</v>
      </c>
      <c r="D183" s="585" t="s">
        <v>255</v>
      </c>
      <c r="E183" s="431"/>
      <c r="F183" s="431"/>
      <c r="G183" s="431"/>
      <c r="H183" s="432"/>
    </row>
    <row r="184" spans="1:8">
      <c r="A184" s="585" t="s">
        <v>600</v>
      </c>
      <c r="C184" s="428">
        <f>C182/C183</f>
        <v>6.666666666666667</v>
      </c>
      <c r="D184" s="585" t="s">
        <v>256</v>
      </c>
      <c r="E184" s="431"/>
      <c r="F184" s="431"/>
      <c r="G184" s="431"/>
      <c r="H184" s="432"/>
    </row>
    <row r="185" spans="1:8">
      <c r="A185" s="585" t="s">
        <v>257</v>
      </c>
      <c r="C185" s="584"/>
      <c r="D185" s="585" t="s">
        <v>258</v>
      </c>
      <c r="E185" s="431"/>
      <c r="F185" s="431"/>
      <c r="G185" s="431"/>
      <c r="H185" s="432"/>
    </row>
    <row r="186" spans="1:8">
      <c r="B186" s="585" t="s">
        <v>259</v>
      </c>
      <c r="C186" s="585">
        <v>100</v>
      </c>
      <c r="D186" s="585" t="s">
        <v>159</v>
      </c>
      <c r="E186" s="431"/>
      <c r="F186" s="431"/>
      <c r="G186" s="431"/>
      <c r="H186" s="432"/>
    </row>
    <row r="187" spans="1:8">
      <c r="B187" s="585" t="s">
        <v>260</v>
      </c>
      <c r="C187" s="428">
        <f>C184*C185/C186</f>
        <v>0</v>
      </c>
      <c r="D187" s="585" t="s">
        <v>260</v>
      </c>
      <c r="E187" s="431"/>
      <c r="F187" s="431"/>
      <c r="G187" s="431"/>
      <c r="H187" s="432"/>
    </row>
    <row r="188" spans="1:8">
      <c r="E188" s="431"/>
      <c r="F188" s="431"/>
      <c r="G188" s="431"/>
      <c r="H188" s="432"/>
    </row>
    <row r="189" spans="1:8">
      <c r="E189" s="431"/>
      <c r="F189" s="131" t="str">
        <f>F171</f>
        <v>NMHC/NMVOC</v>
      </c>
      <c r="G189" s="131" t="str">
        <f t="shared" ref="G189:H189" si="8">G171</f>
        <v>NOx</v>
      </c>
      <c r="H189" s="131" t="str">
        <f t="shared" si="8"/>
        <v>PM</v>
      </c>
    </row>
    <row r="190" spans="1:8">
      <c r="A190" s="585" t="s">
        <v>261</v>
      </c>
      <c r="B190" s="584" t="s">
        <v>247</v>
      </c>
      <c r="E190" s="431" t="s">
        <v>262</v>
      </c>
      <c r="F190" s="574">
        <f>VLOOKUP($B$190,$A$11:$H$17,6,FALSE)*$C$187</f>
        <v>0</v>
      </c>
      <c r="G190" s="574">
        <f>VLOOKUP($B$190,$A$11:$H$17,7,FALSE)*$C$187</f>
        <v>0</v>
      </c>
      <c r="H190" s="576">
        <f>VLOOKUP($B$190,$A$11:$H$17,8,FALSE)*$C$187</f>
        <v>0</v>
      </c>
    </row>
    <row r="191" spans="1:8" ht="18">
      <c r="A191" s="602" t="s">
        <v>296</v>
      </c>
      <c r="B191" s="585">
        <v>3.024</v>
      </c>
      <c r="C191" s="178" t="s">
        <v>529</v>
      </c>
      <c r="E191" s="431"/>
      <c r="F191" s="431"/>
      <c r="G191" s="431"/>
      <c r="H191" s="432"/>
    </row>
    <row r="192" spans="1:8">
      <c r="A192" s="602" t="s">
        <v>297</v>
      </c>
      <c r="B192" s="585">
        <v>520</v>
      </c>
      <c r="C192" s="178" t="s">
        <v>530</v>
      </c>
      <c r="E192" s="431"/>
      <c r="F192" s="431"/>
      <c r="G192" s="431"/>
      <c r="H192" s="432"/>
    </row>
    <row r="193" spans="1:8" ht="18">
      <c r="A193" s="602" t="s">
        <v>298</v>
      </c>
      <c r="B193" s="428">
        <f>B191*(B192/B194)</f>
        <v>1.5724800000000001</v>
      </c>
      <c r="E193" s="431"/>
      <c r="F193" s="431"/>
      <c r="G193" s="431"/>
      <c r="H193" s="432"/>
    </row>
    <row r="194" spans="1:8">
      <c r="A194" s="602"/>
      <c r="B194" s="585">
        <f>10^3</f>
        <v>1000</v>
      </c>
      <c r="C194" s="178" t="s">
        <v>270</v>
      </c>
      <c r="E194" s="431"/>
      <c r="F194" s="431"/>
      <c r="G194" s="431"/>
      <c r="H194" s="432"/>
    </row>
    <row r="195" spans="1:8" ht="18" hidden="1" outlineLevel="1">
      <c r="A195" s="441" t="s">
        <v>284</v>
      </c>
      <c r="B195" s="439">
        <v>1.6</v>
      </c>
      <c r="C195" s="440" t="s">
        <v>531</v>
      </c>
      <c r="E195" s="431"/>
      <c r="F195" s="431"/>
      <c r="G195" s="431"/>
      <c r="H195" s="432"/>
    </row>
    <row r="196" spans="1:8" s="548" customFormat="1" ht="18" collapsed="1">
      <c r="A196" s="602" t="s">
        <v>291</v>
      </c>
      <c r="B196" s="575">
        <f>B193*C185/C186</f>
        <v>0</v>
      </c>
      <c r="C196" s="585"/>
    </row>
    <row r="197" spans="1:8">
      <c r="E197" s="431"/>
      <c r="F197" s="431"/>
      <c r="G197" s="431"/>
      <c r="H197" s="432"/>
    </row>
    <row r="198" spans="1:8">
      <c r="A198" s="131" t="s">
        <v>643</v>
      </c>
      <c r="B198" s="594" t="str">
        <f>Założenia!D59</f>
        <v>NIE</v>
      </c>
    </row>
    <row r="199" spans="1:8" ht="15" customHeight="1"/>
    <row r="200" spans="1:8">
      <c r="A200" s="585" t="s">
        <v>681</v>
      </c>
      <c r="C200" s="584"/>
      <c r="D200" s="585" t="s">
        <v>533</v>
      </c>
    </row>
    <row r="201" spans="1:8">
      <c r="B201" s="585" t="s">
        <v>532</v>
      </c>
      <c r="C201" s="585">
        <v>100</v>
      </c>
    </row>
    <row r="202" spans="1:8">
      <c r="B202" s="585" t="s">
        <v>260</v>
      </c>
      <c r="C202" s="133">
        <f>C200/C201</f>
        <v>0</v>
      </c>
      <c r="D202" s="585" t="s">
        <v>260</v>
      </c>
    </row>
    <row r="203" spans="1:8">
      <c r="C203" s="133"/>
      <c r="D203" s="133"/>
    </row>
    <row r="204" spans="1:8">
      <c r="E204" s="131" t="str">
        <f>E19</f>
        <v>SO2</v>
      </c>
      <c r="F204" s="131" t="str">
        <f t="shared" ref="F204:H204" si="9">F19</f>
        <v>NMHC/NMVOC</v>
      </c>
      <c r="G204" s="131" t="str">
        <f t="shared" si="9"/>
        <v>NOx</v>
      </c>
      <c r="H204" s="131" t="str">
        <f t="shared" si="9"/>
        <v>PM</v>
      </c>
    </row>
    <row r="205" spans="1:8">
      <c r="D205" s="585" t="s">
        <v>262</v>
      </c>
      <c r="E205" s="429">
        <v>0</v>
      </c>
      <c r="F205" s="429">
        <v>0</v>
      </c>
      <c r="G205" s="429">
        <v>0</v>
      </c>
      <c r="H205" s="429">
        <v>0</v>
      </c>
    </row>
    <row r="206" spans="1:8" ht="15" customHeight="1"/>
    <row r="207" spans="1:8" ht="18">
      <c r="A207" s="585" t="s">
        <v>292</v>
      </c>
      <c r="B207" s="581">
        <f>D$20</f>
        <v>662.90204904313487</v>
      </c>
      <c r="C207" s="178" t="s">
        <v>534</v>
      </c>
      <c r="D207" s="178"/>
    </row>
    <row r="208" spans="1:8" ht="18">
      <c r="A208" s="585" t="s">
        <v>291</v>
      </c>
      <c r="B208" s="575">
        <f>B207*C202/1000</f>
        <v>0</v>
      </c>
    </row>
    <row r="209" spans="1:8" ht="18">
      <c r="A209" s="585" t="s">
        <v>638</v>
      </c>
    </row>
    <row r="210" spans="1:8">
      <c r="A210" s="585" t="s">
        <v>535</v>
      </c>
    </row>
    <row r="211" spans="1:8" ht="18">
      <c r="A211" s="483" t="s">
        <v>294</v>
      </c>
    </row>
    <row r="212" spans="1:8">
      <c r="A212" s="145"/>
    </row>
    <row r="213" spans="1:8">
      <c r="A213" s="131" t="s">
        <v>644</v>
      </c>
      <c r="B213" s="594" t="str">
        <f>Założenia!E59</f>
        <v>NIE</v>
      </c>
    </row>
    <row r="214" spans="1:8" ht="15" customHeight="1"/>
    <row r="215" spans="1:8">
      <c r="A215" s="585" t="s">
        <v>681</v>
      </c>
      <c r="C215" s="584"/>
      <c r="D215" s="585" t="s">
        <v>533</v>
      </c>
    </row>
    <row r="216" spans="1:8">
      <c r="B216" s="585" t="s">
        <v>532</v>
      </c>
      <c r="C216" s="585">
        <v>100</v>
      </c>
    </row>
    <row r="217" spans="1:8">
      <c r="B217" s="585" t="s">
        <v>260</v>
      </c>
      <c r="C217" s="133">
        <f>C215/C216</f>
        <v>0</v>
      </c>
      <c r="D217" s="585" t="s">
        <v>260</v>
      </c>
    </row>
    <row r="218" spans="1:8">
      <c r="C218" s="133"/>
    </row>
    <row r="219" spans="1:8">
      <c r="E219" s="131" t="str">
        <f>E204</f>
        <v>SO2</v>
      </c>
      <c r="F219" s="131" t="str">
        <f t="shared" ref="F219:H219" si="10">F204</f>
        <v>NMHC/NMVOC</v>
      </c>
      <c r="G219" s="131" t="str">
        <f t="shared" si="10"/>
        <v>NOx</v>
      </c>
      <c r="H219" s="131" t="str">
        <f t="shared" si="10"/>
        <v>PM</v>
      </c>
    </row>
    <row r="220" spans="1:8">
      <c r="D220" s="585" t="s">
        <v>262</v>
      </c>
      <c r="E220" s="429">
        <v>0</v>
      </c>
      <c r="F220" s="429">
        <v>0</v>
      </c>
      <c r="G220" s="429">
        <v>0</v>
      </c>
      <c r="H220" s="429">
        <v>0</v>
      </c>
    </row>
    <row r="221" spans="1:8" ht="15" customHeight="1"/>
    <row r="222" spans="1:8" ht="18">
      <c r="A222" s="585" t="s">
        <v>292</v>
      </c>
      <c r="B222" s="581">
        <f>D$20</f>
        <v>662.90204904313487</v>
      </c>
      <c r="C222" s="178" t="s">
        <v>534</v>
      </c>
    </row>
    <row r="223" spans="1:8" ht="18">
      <c r="A223" s="585" t="s">
        <v>291</v>
      </c>
      <c r="B223" s="575">
        <f>B222*C217/1000</f>
        <v>0</v>
      </c>
    </row>
    <row r="224" spans="1:8" ht="18">
      <c r="A224" s="585" t="s">
        <v>638</v>
      </c>
    </row>
    <row r="225" spans="1:8">
      <c r="A225" s="585" t="s">
        <v>535</v>
      </c>
    </row>
    <row r="226" spans="1:8" ht="18">
      <c r="A226" s="483" t="s">
        <v>294</v>
      </c>
    </row>
    <row r="227" spans="1:8" ht="15" customHeight="1"/>
    <row r="228" spans="1:8">
      <c r="A228" s="131" t="s">
        <v>645</v>
      </c>
      <c r="B228" s="594" t="str">
        <f>Założenia!F59</f>
        <v>NIE</v>
      </c>
    </row>
    <row r="229" spans="1:8" ht="15" customHeight="1"/>
    <row r="230" spans="1:8">
      <c r="A230" s="585" t="s">
        <v>681</v>
      </c>
      <c r="C230" s="584"/>
      <c r="D230" s="585" t="s">
        <v>533</v>
      </c>
    </row>
    <row r="231" spans="1:8">
      <c r="B231" s="585" t="s">
        <v>532</v>
      </c>
      <c r="C231" s="585">
        <v>100</v>
      </c>
    </row>
    <row r="232" spans="1:8">
      <c r="B232" s="585" t="s">
        <v>260</v>
      </c>
      <c r="C232" s="133">
        <f>C230/C231</f>
        <v>0</v>
      </c>
      <c r="D232" s="585" t="s">
        <v>260</v>
      </c>
    </row>
    <row r="233" spans="1:8">
      <c r="C233" s="133"/>
    </row>
    <row r="234" spans="1:8">
      <c r="E234" s="131" t="str">
        <f>E219</f>
        <v>SO2</v>
      </c>
      <c r="F234" s="131" t="str">
        <f t="shared" ref="F234:H234" si="11">F219</f>
        <v>NMHC/NMVOC</v>
      </c>
      <c r="G234" s="131" t="str">
        <f t="shared" si="11"/>
        <v>NOx</v>
      </c>
      <c r="H234" s="131" t="str">
        <f t="shared" si="11"/>
        <v>PM</v>
      </c>
    </row>
    <row r="235" spans="1:8">
      <c r="D235" s="585" t="s">
        <v>262</v>
      </c>
      <c r="E235" s="429">
        <v>0</v>
      </c>
      <c r="F235" s="429">
        <v>0</v>
      </c>
      <c r="G235" s="429">
        <v>0</v>
      </c>
      <c r="H235" s="429">
        <v>0</v>
      </c>
    </row>
    <row r="236" spans="1:8" ht="15" customHeight="1"/>
    <row r="237" spans="1:8" ht="18">
      <c r="A237" s="585" t="s">
        <v>292</v>
      </c>
      <c r="B237" s="581">
        <f>D$20</f>
        <v>662.90204904313487</v>
      </c>
      <c r="C237" s="178" t="s">
        <v>534</v>
      </c>
    </row>
    <row r="238" spans="1:8" ht="18">
      <c r="A238" s="585" t="s">
        <v>291</v>
      </c>
      <c r="B238" s="575">
        <f>B237*C232/1000</f>
        <v>0</v>
      </c>
    </row>
    <row r="239" spans="1:8" ht="18">
      <c r="A239" s="585" t="s">
        <v>638</v>
      </c>
    </row>
    <row r="240" spans="1:8">
      <c r="A240" s="585" t="s">
        <v>535</v>
      </c>
    </row>
    <row r="241" spans="1:8" ht="18">
      <c r="A241" s="483" t="s">
        <v>294</v>
      </c>
    </row>
    <row r="242" spans="1:8" ht="15" customHeight="1"/>
    <row r="243" spans="1:8">
      <c r="A243" s="131" t="s">
        <v>646</v>
      </c>
      <c r="B243" s="594" t="str">
        <f>Założenia!D61</f>
        <v>TAK</v>
      </c>
    </row>
    <row r="244" spans="1:8" ht="15" customHeight="1"/>
    <row r="245" spans="1:8">
      <c r="A245" s="585" t="s">
        <v>250</v>
      </c>
      <c r="C245" s="624">
        <v>36</v>
      </c>
      <c r="D245" s="585" t="s">
        <v>251</v>
      </c>
      <c r="E245" s="426" t="s">
        <v>252</v>
      </c>
    </row>
    <row r="246" spans="1:8">
      <c r="A246" s="585" t="s">
        <v>253</v>
      </c>
      <c r="B246" s="14" t="s">
        <v>254</v>
      </c>
      <c r="C246" s="585">
        <f>1/$B$22</f>
        <v>3.5999999999999996</v>
      </c>
      <c r="D246" s="585" t="s">
        <v>255</v>
      </c>
    </row>
    <row r="247" spans="1:8">
      <c r="A247" s="585" t="s">
        <v>250</v>
      </c>
      <c r="C247" s="428">
        <f>C245/C246</f>
        <v>10.000000000000002</v>
      </c>
      <c r="D247" s="585" t="s">
        <v>256</v>
      </c>
    </row>
    <row r="248" spans="1:8">
      <c r="A248" s="585" t="s">
        <v>257</v>
      </c>
      <c r="C248" s="542">
        <v>10</v>
      </c>
      <c r="D248" s="585" t="s">
        <v>258</v>
      </c>
    </row>
    <row r="249" spans="1:8">
      <c r="A249" s="178"/>
      <c r="B249" s="585" t="s">
        <v>259</v>
      </c>
      <c r="C249" s="585">
        <v>100</v>
      </c>
      <c r="D249" s="585" t="s">
        <v>159</v>
      </c>
    </row>
    <row r="250" spans="1:8">
      <c r="A250" s="178"/>
      <c r="B250" s="585" t="s">
        <v>260</v>
      </c>
      <c r="C250" s="585">
        <f>C248*C247/C249</f>
        <v>1.0000000000000002</v>
      </c>
      <c r="D250" s="585" t="s">
        <v>260</v>
      </c>
    </row>
    <row r="251" spans="1:8">
      <c r="E251" s="1"/>
      <c r="F251" s="131" t="str">
        <f>F36</f>
        <v>NMHC/NMVOC</v>
      </c>
      <c r="G251" s="131" t="str">
        <f t="shared" ref="G251:H251" si="12">G36</f>
        <v>NOx</v>
      </c>
      <c r="H251" s="131" t="str">
        <f t="shared" si="12"/>
        <v>PM</v>
      </c>
    </row>
    <row r="252" spans="1:8">
      <c r="E252" s="585" t="s">
        <v>262</v>
      </c>
      <c r="F252" s="429">
        <f>VLOOKUP($B$253,$A$11:$H$17,6,FALSE)*$C$250</f>
        <v>0.13000000000000003</v>
      </c>
      <c r="G252" s="429">
        <f>VLOOKUP($B$253,$A$11:$H$17,7,FALSE)*$C$250</f>
        <v>0.40000000000000013</v>
      </c>
      <c r="H252" s="429">
        <f>VLOOKUP($B$253,$A$11:$H$17,8,FALSE)*$C$250</f>
        <v>1.0000000000000002E-2</v>
      </c>
    </row>
    <row r="253" spans="1:8">
      <c r="A253" s="178" t="s">
        <v>261</v>
      </c>
      <c r="B253" s="584" t="s">
        <v>247</v>
      </c>
    </row>
    <row r="254" spans="1:8">
      <c r="A254" s="178"/>
    </row>
    <row r="255" spans="1:8" ht="18">
      <c r="A255" s="178" t="s">
        <v>296</v>
      </c>
      <c r="B255" s="437">
        <v>3.169</v>
      </c>
      <c r="C255" s="178" t="s">
        <v>529</v>
      </c>
    </row>
    <row r="256" spans="1:8">
      <c r="A256" s="178" t="s">
        <v>297</v>
      </c>
      <c r="B256" s="437">
        <v>840</v>
      </c>
      <c r="C256" s="178" t="s">
        <v>530</v>
      </c>
    </row>
    <row r="257" spans="1:8" ht="18">
      <c r="A257" s="178" t="s">
        <v>298</v>
      </c>
      <c r="B257" s="437">
        <f>B255*(B256/B258)</f>
        <v>2.6619600000000001</v>
      </c>
      <c r="C257" s="178"/>
    </row>
    <row r="258" spans="1:8">
      <c r="A258" s="178"/>
      <c r="B258" s="438">
        <f>10^3</f>
        <v>1000</v>
      </c>
      <c r="C258" s="178" t="s">
        <v>270</v>
      </c>
    </row>
    <row r="259" spans="1:8" ht="18" hidden="1" outlineLevel="1">
      <c r="A259" s="441" t="s">
        <v>284</v>
      </c>
      <c r="B259" s="439">
        <v>2.7</v>
      </c>
      <c r="C259" s="440" t="s">
        <v>531</v>
      </c>
    </row>
    <row r="260" spans="1:8" ht="18" collapsed="1">
      <c r="A260" s="178" t="s">
        <v>291</v>
      </c>
      <c r="B260" s="429">
        <f>B257*C248/C249</f>
        <v>0.26619600000000004</v>
      </c>
    </row>
    <row r="261" spans="1:8" ht="15" customHeight="1"/>
    <row r="262" spans="1:8">
      <c r="A262" s="585" t="s">
        <v>681</v>
      </c>
      <c r="C262" s="584">
        <v>90</v>
      </c>
      <c r="D262" s="585" t="s">
        <v>533</v>
      </c>
    </row>
    <row r="263" spans="1:8">
      <c r="B263" s="585" t="s">
        <v>532</v>
      </c>
      <c r="C263" s="585">
        <v>100</v>
      </c>
    </row>
    <row r="264" spans="1:8">
      <c r="B264" s="585" t="s">
        <v>260</v>
      </c>
      <c r="C264" s="133">
        <f>C262/C263</f>
        <v>0.9</v>
      </c>
      <c r="D264" s="585" t="s">
        <v>260</v>
      </c>
    </row>
    <row r="265" spans="1:8">
      <c r="C265" s="133"/>
    </row>
    <row r="266" spans="1:8">
      <c r="E266" s="131" t="str">
        <f>E234</f>
        <v>SO2</v>
      </c>
      <c r="F266" s="131" t="str">
        <f t="shared" ref="F266:G266" si="13">F234</f>
        <v>NMHC/NMVOC</v>
      </c>
      <c r="G266" s="131" t="str">
        <f t="shared" si="13"/>
        <v>NOx</v>
      </c>
      <c r="H266" s="131" t="str">
        <f>H234</f>
        <v>PM</v>
      </c>
    </row>
    <row r="267" spans="1:8">
      <c r="D267" s="585" t="s">
        <v>262</v>
      </c>
      <c r="E267" s="429">
        <f>E$20*$C$264</f>
        <v>0.45990000000000003</v>
      </c>
      <c r="F267" s="429">
        <f t="shared" ref="F267:H267" si="14">F$20*$C$264</f>
        <v>4.5360000000000001E-3</v>
      </c>
      <c r="G267" s="429">
        <f t="shared" si="14"/>
        <v>0.51839999999999997</v>
      </c>
      <c r="H267" s="429">
        <f t="shared" si="14"/>
        <v>2.6100000000000002E-2</v>
      </c>
    </row>
    <row r="268" spans="1:8" ht="15" customHeight="1"/>
    <row r="269" spans="1:8" ht="18">
      <c r="A269" s="585" t="s">
        <v>292</v>
      </c>
      <c r="B269" s="581">
        <f>D$20</f>
        <v>662.90204904313487</v>
      </c>
      <c r="C269" s="178" t="s">
        <v>534</v>
      </c>
    </row>
    <row r="270" spans="1:8" ht="18">
      <c r="A270" s="585" t="s">
        <v>291</v>
      </c>
      <c r="B270" s="575">
        <f>B269*C264/1000</f>
        <v>0.5966118441388214</v>
      </c>
    </row>
    <row r="271" spans="1:8" ht="18">
      <c r="A271" s="585" t="s">
        <v>638</v>
      </c>
    </row>
    <row r="272" spans="1:8">
      <c r="A272" s="585" t="s">
        <v>535</v>
      </c>
    </row>
    <row r="273" spans="1:8" ht="18">
      <c r="A273" s="483" t="s">
        <v>294</v>
      </c>
    </row>
    <row r="274" spans="1:8">
      <c r="E274" s="131" t="str">
        <f>E266</f>
        <v>SO2</v>
      </c>
      <c r="F274" s="131" t="str">
        <f t="shared" ref="F274:H274" si="15">F266</f>
        <v>NMHC/NMVOC</v>
      </c>
      <c r="G274" s="131" t="str">
        <f t="shared" si="15"/>
        <v>NOx</v>
      </c>
      <c r="H274" s="131" t="str">
        <f t="shared" si="15"/>
        <v>PM</v>
      </c>
    </row>
    <row r="275" spans="1:8">
      <c r="A275" s="585" t="s">
        <v>647</v>
      </c>
      <c r="D275" s="585" t="s">
        <v>262</v>
      </c>
      <c r="E275" s="429">
        <f>E267</f>
        <v>0.45990000000000003</v>
      </c>
      <c r="F275" s="429">
        <f>F252+F267</f>
        <v>0.13453600000000004</v>
      </c>
      <c r="G275" s="429">
        <f t="shared" ref="G275:H275" si="16">G252+G267</f>
        <v>0.91840000000000011</v>
      </c>
      <c r="H275" s="429">
        <f t="shared" si="16"/>
        <v>3.6100000000000007E-2</v>
      </c>
    </row>
    <row r="276" spans="1:8" ht="18">
      <c r="A276" s="585" t="s">
        <v>291</v>
      </c>
      <c r="B276" s="595">
        <f>B260+B270</f>
        <v>0.86280784413882139</v>
      </c>
    </row>
    <row r="277" spans="1:8" ht="15" customHeight="1"/>
    <row r="278" spans="1:8">
      <c r="A278" s="131" t="s">
        <v>649</v>
      </c>
      <c r="B278" s="594" t="str">
        <f>Założenia!E61</f>
        <v>TAK</v>
      </c>
    </row>
    <row r="279" spans="1:8" ht="15" customHeight="1"/>
    <row r="280" spans="1:8">
      <c r="A280" s="585" t="s">
        <v>250</v>
      </c>
      <c r="C280" s="624">
        <v>36</v>
      </c>
      <c r="D280" s="585" t="s">
        <v>251</v>
      </c>
      <c r="E280" s="426" t="s">
        <v>252</v>
      </c>
    </row>
    <row r="281" spans="1:8">
      <c r="A281" s="585" t="s">
        <v>253</v>
      </c>
      <c r="B281" s="14" t="s">
        <v>254</v>
      </c>
      <c r="C281" s="585">
        <f>1/$B$22</f>
        <v>3.5999999999999996</v>
      </c>
      <c r="D281" s="585" t="s">
        <v>255</v>
      </c>
    </row>
    <row r="282" spans="1:8">
      <c r="A282" s="585" t="s">
        <v>250</v>
      </c>
      <c r="C282" s="428">
        <f>C280/C281</f>
        <v>10.000000000000002</v>
      </c>
      <c r="D282" s="585" t="s">
        <v>256</v>
      </c>
    </row>
    <row r="283" spans="1:8">
      <c r="A283" s="585" t="s">
        <v>257</v>
      </c>
      <c r="C283" s="542">
        <v>8</v>
      </c>
      <c r="D283" s="585" t="s">
        <v>258</v>
      </c>
    </row>
    <row r="284" spans="1:8">
      <c r="A284" s="178"/>
      <c r="B284" s="585" t="s">
        <v>259</v>
      </c>
      <c r="C284" s="585">
        <v>100</v>
      </c>
      <c r="D284" s="585" t="s">
        <v>159</v>
      </c>
    </row>
    <row r="285" spans="1:8">
      <c r="A285" s="178"/>
      <c r="B285" s="585" t="s">
        <v>260</v>
      </c>
      <c r="C285" s="585">
        <f>C283*C282/C284</f>
        <v>0.80000000000000016</v>
      </c>
      <c r="D285" s="585" t="s">
        <v>260</v>
      </c>
    </row>
    <row r="286" spans="1:8">
      <c r="E286" s="1"/>
      <c r="F286" s="131" t="str">
        <f>F251</f>
        <v>NMHC/NMVOC</v>
      </c>
      <c r="G286" s="131" t="str">
        <f t="shared" ref="G286:H286" si="17">G251</f>
        <v>NOx</v>
      </c>
      <c r="H286" s="131" t="str">
        <f t="shared" si="17"/>
        <v>PM</v>
      </c>
    </row>
    <row r="287" spans="1:8">
      <c r="E287" s="585" t="s">
        <v>262</v>
      </c>
      <c r="F287" s="429">
        <f>VLOOKUP($B$288,$A$11:$H$17,6,FALSE)*$C$285</f>
        <v>0.10400000000000002</v>
      </c>
      <c r="G287" s="429">
        <f>VLOOKUP($B$288,$A$11:$H$17,7,FALSE)*$C$285</f>
        <v>0.32000000000000006</v>
      </c>
      <c r="H287" s="429">
        <f>VLOOKUP($B$288,$A$11:$H$17,8,FALSE)*$C$285</f>
        <v>8.0000000000000019E-3</v>
      </c>
    </row>
    <row r="288" spans="1:8">
      <c r="A288" s="178" t="s">
        <v>261</v>
      </c>
      <c r="B288" s="584" t="s">
        <v>247</v>
      </c>
    </row>
    <row r="289" spans="1:8">
      <c r="A289" s="178"/>
    </row>
    <row r="290" spans="1:8" ht="18">
      <c r="A290" s="178" t="s">
        <v>296</v>
      </c>
      <c r="B290" s="437">
        <v>3.169</v>
      </c>
      <c r="C290" s="178" t="s">
        <v>529</v>
      </c>
    </row>
    <row r="291" spans="1:8">
      <c r="A291" s="178" t="s">
        <v>297</v>
      </c>
      <c r="B291" s="437">
        <v>840</v>
      </c>
      <c r="C291" s="178" t="s">
        <v>530</v>
      </c>
    </row>
    <row r="292" spans="1:8" ht="18">
      <c r="A292" s="178" t="s">
        <v>298</v>
      </c>
      <c r="B292" s="437">
        <f>B290*(B291/B293)</f>
        <v>2.6619600000000001</v>
      </c>
      <c r="C292" s="178"/>
    </row>
    <row r="293" spans="1:8">
      <c r="A293" s="178"/>
      <c r="B293" s="438">
        <f>10^3</f>
        <v>1000</v>
      </c>
      <c r="C293" s="178" t="s">
        <v>270</v>
      </c>
    </row>
    <row r="294" spans="1:8" ht="18" hidden="1" outlineLevel="1">
      <c r="A294" s="441" t="s">
        <v>284</v>
      </c>
      <c r="B294" s="439">
        <v>2.7</v>
      </c>
      <c r="C294" s="440" t="s">
        <v>531</v>
      </c>
    </row>
    <row r="295" spans="1:8" ht="18" collapsed="1">
      <c r="A295" s="178" t="s">
        <v>291</v>
      </c>
      <c r="B295" s="429">
        <f>B292*C283/C284</f>
        <v>0.2129568</v>
      </c>
    </row>
    <row r="296" spans="1:8" ht="15" customHeight="1"/>
    <row r="297" spans="1:8">
      <c r="A297" s="585" t="s">
        <v>681</v>
      </c>
      <c r="C297" s="584">
        <v>70</v>
      </c>
      <c r="D297" s="585" t="s">
        <v>533</v>
      </c>
    </row>
    <row r="298" spans="1:8">
      <c r="B298" s="585" t="s">
        <v>532</v>
      </c>
      <c r="C298" s="585">
        <v>100</v>
      </c>
    </row>
    <row r="299" spans="1:8">
      <c r="B299" s="585" t="s">
        <v>260</v>
      </c>
      <c r="C299" s="133">
        <f>C297/C298</f>
        <v>0.7</v>
      </c>
      <c r="D299" s="585" t="s">
        <v>260</v>
      </c>
    </row>
    <row r="300" spans="1:8">
      <c r="C300" s="133"/>
    </row>
    <row r="301" spans="1:8">
      <c r="E301" s="131" t="str">
        <f>E266</f>
        <v>SO2</v>
      </c>
      <c r="F301" s="131" t="str">
        <f t="shared" ref="F301:H301" si="18">F266</f>
        <v>NMHC/NMVOC</v>
      </c>
      <c r="G301" s="131" t="str">
        <f t="shared" si="18"/>
        <v>NOx</v>
      </c>
      <c r="H301" s="131" t="str">
        <f t="shared" si="18"/>
        <v>PM</v>
      </c>
    </row>
    <row r="302" spans="1:8">
      <c r="D302" s="585" t="s">
        <v>262</v>
      </c>
      <c r="E302" s="429">
        <f>E$20*$C$299</f>
        <v>0.35769999999999996</v>
      </c>
      <c r="F302" s="429">
        <f t="shared" ref="F302:H302" si="19">F$20*$C$299</f>
        <v>3.5279999999999999E-3</v>
      </c>
      <c r="G302" s="429">
        <f t="shared" si="19"/>
        <v>0.40319999999999995</v>
      </c>
      <c r="H302" s="429">
        <f t="shared" si="19"/>
        <v>2.0299999999999999E-2</v>
      </c>
    </row>
    <row r="303" spans="1:8" ht="15" customHeight="1"/>
    <row r="304" spans="1:8" ht="18">
      <c r="A304" s="585" t="s">
        <v>292</v>
      </c>
      <c r="B304" s="581">
        <f>D$20</f>
        <v>662.90204904313487</v>
      </c>
      <c r="C304" s="178" t="s">
        <v>534</v>
      </c>
    </row>
    <row r="305" spans="1:8" ht="18">
      <c r="A305" s="585" t="s">
        <v>291</v>
      </c>
      <c r="B305" s="575">
        <f>B304*C299/1000</f>
        <v>0.46403143433019439</v>
      </c>
    </row>
    <row r="306" spans="1:8" ht="18">
      <c r="A306" s="585" t="s">
        <v>638</v>
      </c>
    </row>
    <row r="307" spans="1:8">
      <c r="A307" s="585" t="s">
        <v>535</v>
      </c>
    </row>
    <row r="308" spans="1:8" ht="18">
      <c r="A308" s="483" t="s">
        <v>294</v>
      </c>
    </row>
    <row r="309" spans="1:8">
      <c r="E309" s="131" t="str">
        <f>E301</f>
        <v>SO2</v>
      </c>
      <c r="F309" s="131" t="str">
        <f t="shared" ref="F309:H309" si="20">F301</f>
        <v>NMHC/NMVOC</v>
      </c>
      <c r="G309" s="131" t="str">
        <f t="shared" si="20"/>
        <v>NOx</v>
      </c>
      <c r="H309" s="131" t="str">
        <f t="shared" si="20"/>
        <v>PM</v>
      </c>
    </row>
    <row r="310" spans="1:8">
      <c r="A310" s="585" t="s">
        <v>647</v>
      </c>
      <c r="D310" s="585" t="s">
        <v>262</v>
      </c>
      <c r="E310" s="429">
        <f>E302</f>
        <v>0.35769999999999996</v>
      </c>
      <c r="F310" s="429">
        <f>F287+F302</f>
        <v>0.10752800000000003</v>
      </c>
      <c r="G310" s="429">
        <f t="shared" ref="G310:H310" si="21">G287+G302</f>
        <v>0.72320000000000007</v>
      </c>
      <c r="H310" s="429">
        <f t="shared" si="21"/>
        <v>2.8299999999999999E-2</v>
      </c>
    </row>
    <row r="311" spans="1:8" ht="18">
      <c r="A311" s="585" t="s">
        <v>291</v>
      </c>
      <c r="B311" s="595">
        <f>B295+B305</f>
        <v>0.67698823433019439</v>
      </c>
    </row>
    <row r="312" spans="1:8" ht="15" customHeight="1"/>
    <row r="313" spans="1:8">
      <c r="A313" s="131" t="s">
        <v>650</v>
      </c>
      <c r="B313" s="594" t="str">
        <f>Założenia!F61</f>
        <v>NIE</v>
      </c>
    </row>
    <row r="314" spans="1:8" ht="15" customHeight="1"/>
    <row r="315" spans="1:8">
      <c r="A315" s="585" t="s">
        <v>250</v>
      </c>
      <c r="C315" s="624">
        <v>36</v>
      </c>
      <c r="D315" s="585" t="s">
        <v>251</v>
      </c>
      <c r="E315" s="426" t="s">
        <v>252</v>
      </c>
    </row>
    <row r="316" spans="1:8">
      <c r="A316" s="585" t="s">
        <v>253</v>
      </c>
      <c r="B316" s="14" t="s">
        <v>254</v>
      </c>
      <c r="C316" s="585">
        <f>1/$B$22</f>
        <v>3.5999999999999996</v>
      </c>
      <c r="D316" s="585" t="s">
        <v>255</v>
      </c>
    </row>
    <row r="317" spans="1:8">
      <c r="A317" s="585" t="s">
        <v>250</v>
      </c>
      <c r="C317" s="428">
        <f>C315/C316</f>
        <v>10.000000000000002</v>
      </c>
      <c r="D317" s="585" t="s">
        <v>256</v>
      </c>
    </row>
    <row r="318" spans="1:8">
      <c r="A318" s="585" t="s">
        <v>257</v>
      </c>
      <c r="C318" s="542"/>
      <c r="D318" s="585" t="s">
        <v>258</v>
      </c>
    </row>
    <row r="319" spans="1:8">
      <c r="A319" s="178"/>
      <c r="B319" s="585" t="s">
        <v>259</v>
      </c>
      <c r="C319" s="585">
        <v>100</v>
      </c>
      <c r="D319" s="585" t="s">
        <v>159</v>
      </c>
    </row>
    <row r="320" spans="1:8">
      <c r="A320" s="178"/>
      <c r="B320" s="585" t="s">
        <v>260</v>
      </c>
      <c r="C320" s="585">
        <f>C318*C317/C319</f>
        <v>0</v>
      </c>
      <c r="D320" s="585" t="s">
        <v>260</v>
      </c>
    </row>
    <row r="321" spans="1:8">
      <c r="E321" s="1"/>
      <c r="F321" s="131" t="str">
        <f>F286</f>
        <v>NMHC/NMVOC</v>
      </c>
      <c r="G321" s="131" t="str">
        <f t="shared" ref="G321:H321" si="22">G286</f>
        <v>NOx</v>
      </c>
      <c r="H321" s="131" t="str">
        <f t="shared" si="22"/>
        <v>PM</v>
      </c>
    </row>
    <row r="322" spans="1:8">
      <c r="E322" s="585" t="s">
        <v>262</v>
      </c>
      <c r="F322" s="429">
        <f>VLOOKUP($B$323,$A$11:$H$17,6,FALSE)*$C$320</f>
        <v>0</v>
      </c>
      <c r="G322" s="429">
        <f>VLOOKUP($B$323,$A$11:$H$17,7,FALSE)*$C$320</f>
        <v>0</v>
      </c>
      <c r="H322" s="429">
        <f>VLOOKUP($B$323,$A$11:$H$17,8,FALSE)*$C$320</f>
        <v>0</v>
      </c>
    </row>
    <row r="323" spans="1:8">
      <c r="A323" s="178" t="s">
        <v>261</v>
      </c>
      <c r="B323" s="584" t="s">
        <v>247</v>
      </c>
    </row>
    <row r="324" spans="1:8">
      <c r="A324" s="178"/>
    </row>
    <row r="325" spans="1:8" ht="18">
      <c r="A325" s="178" t="s">
        <v>296</v>
      </c>
      <c r="B325" s="437">
        <v>3.169</v>
      </c>
      <c r="C325" s="178" t="s">
        <v>529</v>
      </c>
    </row>
    <row r="326" spans="1:8">
      <c r="A326" s="178" t="s">
        <v>297</v>
      </c>
      <c r="B326" s="437">
        <v>840</v>
      </c>
      <c r="C326" s="178" t="s">
        <v>530</v>
      </c>
    </row>
    <row r="327" spans="1:8" ht="18">
      <c r="A327" s="178" t="s">
        <v>298</v>
      </c>
      <c r="B327" s="437">
        <f>B325*(B326/B328)</f>
        <v>2.6619600000000001</v>
      </c>
      <c r="C327" s="178"/>
    </row>
    <row r="328" spans="1:8">
      <c r="A328" s="178"/>
      <c r="B328" s="438">
        <f>10^3</f>
        <v>1000</v>
      </c>
      <c r="C328" s="178" t="s">
        <v>270</v>
      </c>
    </row>
    <row r="329" spans="1:8" ht="18" hidden="1" outlineLevel="1">
      <c r="A329" s="441" t="s">
        <v>284</v>
      </c>
      <c r="B329" s="439">
        <v>2.7</v>
      </c>
      <c r="C329" s="440" t="s">
        <v>531</v>
      </c>
    </row>
    <row r="330" spans="1:8" ht="18" collapsed="1">
      <c r="A330" s="178" t="s">
        <v>291</v>
      </c>
      <c r="B330" s="429">
        <f>B327*C318/C319</f>
        <v>0</v>
      </c>
    </row>
    <row r="331" spans="1:8" ht="15" customHeight="1"/>
    <row r="332" spans="1:8">
      <c r="A332" s="585" t="s">
        <v>681</v>
      </c>
      <c r="C332" s="584"/>
      <c r="D332" s="585" t="s">
        <v>533</v>
      </c>
    </row>
    <row r="333" spans="1:8">
      <c r="B333" s="585" t="s">
        <v>532</v>
      </c>
      <c r="C333" s="585">
        <v>100</v>
      </c>
    </row>
    <row r="334" spans="1:8">
      <c r="B334" s="585" t="s">
        <v>260</v>
      </c>
      <c r="C334" s="133">
        <f>C332/C333</f>
        <v>0</v>
      </c>
      <c r="D334" s="585" t="s">
        <v>260</v>
      </c>
    </row>
    <row r="335" spans="1:8">
      <c r="C335" s="133"/>
    </row>
    <row r="336" spans="1:8">
      <c r="E336" s="131" t="str">
        <f>E301</f>
        <v>SO2</v>
      </c>
      <c r="F336" s="131" t="str">
        <f t="shared" ref="F336:H336" si="23">F301</f>
        <v>NMHC/NMVOC</v>
      </c>
      <c r="G336" s="131" t="str">
        <f t="shared" si="23"/>
        <v>NOx</v>
      </c>
      <c r="H336" s="131" t="str">
        <f t="shared" si="23"/>
        <v>PM</v>
      </c>
    </row>
    <row r="337" spans="1:8">
      <c r="D337" s="585" t="s">
        <v>262</v>
      </c>
      <c r="E337" s="429">
        <f>E$20*$C$334</f>
        <v>0</v>
      </c>
      <c r="F337" s="429">
        <f t="shared" ref="F337:H337" si="24">F$20*$C$334</f>
        <v>0</v>
      </c>
      <c r="G337" s="429">
        <f t="shared" si="24"/>
        <v>0</v>
      </c>
      <c r="H337" s="429">
        <f t="shared" si="24"/>
        <v>0</v>
      </c>
    </row>
    <row r="338" spans="1:8" ht="15" customHeight="1"/>
    <row r="339" spans="1:8" ht="18">
      <c r="A339" s="585" t="s">
        <v>292</v>
      </c>
      <c r="B339" s="581">
        <f>D$20</f>
        <v>662.90204904313487</v>
      </c>
      <c r="C339" s="178" t="s">
        <v>534</v>
      </c>
    </row>
    <row r="340" spans="1:8" ht="18">
      <c r="A340" s="585" t="s">
        <v>291</v>
      </c>
      <c r="B340" s="575">
        <f>B339*C334/1000</f>
        <v>0</v>
      </c>
    </row>
    <row r="341" spans="1:8" ht="18">
      <c r="A341" s="585" t="s">
        <v>638</v>
      </c>
    </row>
    <row r="342" spans="1:8" ht="15" customHeight="1">
      <c r="A342" s="585" t="s">
        <v>535</v>
      </c>
    </row>
    <row r="343" spans="1:8" ht="15" customHeight="1">
      <c r="A343" s="483" t="s">
        <v>294</v>
      </c>
    </row>
    <row r="344" spans="1:8" ht="15" customHeight="1">
      <c r="E344" s="131" t="str">
        <f>E336</f>
        <v>SO2</v>
      </c>
      <c r="F344" s="131" t="str">
        <f t="shared" ref="F344:H344" si="25">F336</f>
        <v>NMHC/NMVOC</v>
      </c>
      <c r="G344" s="131" t="str">
        <f t="shared" si="25"/>
        <v>NOx</v>
      </c>
      <c r="H344" s="131" t="str">
        <f t="shared" si="25"/>
        <v>PM</v>
      </c>
    </row>
    <row r="345" spans="1:8" ht="15" customHeight="1">
      <c r="A345" s="585" t="s">
        <v>647</v>
      </c>
      <c r="D345" s="585" t="s">
        <v>262</v>
      </c>
      <c r="E345" s="429">
        <f>E337</f>
        <v>0</v>
      </c>
      <c r="F345" s="429">
        <f>F322+F337</f>
        <v>0</v>
      </c>
      <c r="G345" s="429">
        <f t="shared" ref="G345:H345" si="26">G322+G337</f>
        <v>0</v>
      </c>
      <c r="H345" s="429">
        <f t="shared" si="26"/>
        <v>0</v>
      </c>
    </row>
    <row r="346" spans="1:8" ht="15" customHeight="1">
      <c r="A346" s="585" t="s">
        <v>291</v>
      </c>
      <c r="B346" s="595">
        <f>B330+B340</f>
        <v>0</v>
      </c>
    </row>
    <row r="347" spans="1:8" ht="15" customHeight="1"/>
  </sheetData>
  <dataValidations count="2">
    <dataValidation type="list" allowBlank="1" showInputMessage="1" showErrorMessage="1" sqref="B37 B94 B56 B75 B114 B134 B253 B288 B323">
      <formula1>$A$11:$A$17</formula1>
    </dataValidation>
    <dataValidation type="custom" allowBlank="1" showInputMessage="1" showErrorMessage="1" sqref="A11:A17">
      <formula1>B37</formula1>
    </dataValidation>
  </dataValidations>
  <hyperlinks>
    <hyperlink ref="A211" location="'Zmiany klimatu (GHG) samochody'!A180" display="Zmiany wskaźnika emisji CO2 względem roku 2019"/>
    <hyperlink ref="A226" location="'Zmiany klimatu (GHG) samochody'!A180" display="Zmiany wskaźnika emisji CO2 względem roku 2019"/>
    <hyperlink ref="A241" location="'Zmiany klimatu (GHG) samochody'!A180" display="Zmiany wskaźnika emisji CO2 względem roku 2019"/>
    <hyperlink ref="A273" location="'Zmiany klimatu (GHG) samochody'!A180" display="Zmiany wskaźnika emisji CO2 względem roku 2019"/>
    <hyperlink ref="A308" location="'Zmiany klimatu (GHG) samochody'!A180" display="Zmiany wskaźnika emisji CO2 względem roku 2019"/>
    <hyperlink ref="A343" location="'Zmiany klimatu (GHG) samochody'!A180" display="Zmiany wskaźnika emisji CO2 względem roku 2019"/>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15"/>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5" zeroHeight="1" outlineLevelRow="1"/>
  <cols>
    <col min="1" max="1" width="50.7109375" customWidth="1"/>
    <col min="2" max="2" width="9.7109375" style="527" customWidth="1"/>
    <col min="3" max="3" width="12.7109375" customWidth="1"/>
    <col min="4" max="4" width="15.7109375" customWidth="1"/>
    <col min="5" max="22" width="14.7109375" customWidth="1"/>
  </cols>
  <sheetData>
    <row r="1" spans="1:22" s="525" customFormat="1">
      <c r="A1" s="525" t="s">
        <v>538</v>
      </c>
      <c r="B1" s="526" t="s">
        <v>231</v>
      </c>
      <c r="E1" s="525">
        <v>2022</v>
      </c>
      <c r="F1" s="525">
        <v>2023</v>
      </c>
      <c r="G1" s="525">
        <v>2024</v>
      </c>
      <c r="H1" s="525">
        <v>2025</v>
      </c>
      <c r="I1" s="525">
        <v>2026</v>
      </c>
      <c r="J1" s="525">
        <v>2027</v>
      </c>
      <c r="K1" s="525">
        <v>2028</v>
      </c>
      <c r="L1" s="525">
        <v>2029</v>
      </c>
      <c r="M1" s="525">
        <v>2030</v>
      </c>
      <c r="N1" s="525">
        <v>2031</v>
      </c>
      <c r="O1" s="525">
        <v>2032</v>
      </c>
      <c r="P1" s="525">
        <v>2033</v>
      </c>
      <c r="Q1" s="525">
        <v>2034</v>
      </c>
      <c r="R1" s="525">
        <v>2035</v>
      </c>
      <c r="S1" s="525">
        <v>2036</v>
      </c>
      <c r="T1" s="525">
        <v>2037</v>
      </c>
      <c r="U1" s="525">
        <v>2038</v>
      </c>
      <c r="V1" s="525">
        <v>2039</v>
      </c>
    </row>
    <row r="2" spans="1:22" s="168" customFormat="1">
      <c r="B2" s="552"/>
    </row>
    <row r="3" spans="1:22" s="168" customFormat="1">
      <c r="A3" s="553" t="s">
        <v>594</v>
      </c>
      <c r="B3" s="554"/>
      <c r="C3" s="631">
        <f>(C35+C54)/(IF((C134+C213)&lt;1,1,(C134+C213)))</f>
        <v>1.8112985761012859</v>
      </c>
      <c r="D3" s="632"/>
      <c r="E3" s="633"/>
    </row>
    <row r="4" spans="1:22" s="168" customFormat="1" ht="15" customHeight="1">
      <c r="A4" s="640" t="s">
        <v>653</v>
      </c>
      <c r="B4" s="642"/>
      <c r="C4" s="634"/>
      <c r="D4" s="635"/>
      <c r="E4" s="636"/>
      <c r="F4" s="623" t="str">
        <f>IF(C3&lt;=1,"UWAGA! BRAK REDUKCJI"," ")</f>
        <v xml:space="preserve"> </v>
      </c>
    </row>
    <row r="5" spans="1:22" s="168" customFormat="1">
      <c r="A5" s="641"/>
      <c r="B5" s="643"/>
      <c r="C5" s="637"/>
      <c r="D5" s="638"/>
      <c r="E5" s="639"/>
      <c r="G5" s="620"/>
    </row>
    <row r="6" spans="1:22"/>
    <row r="7" spans="1:22">
      <c r="A7" s="131" t="s">
        <v>559</v>
      </c>
    </row>
    <row r="8" spans="1:22" hidden="1" outlineLevel="1">
      <c r="A8" s="534" t="s">
        <v>580</v>
      </c>
    </row>
    <row r="9" spans="1:22" s="548" customFormat="1" ht="18" hidden="1" outlineLevel="1">
      <c r="A9" s="545" t="s">
        <v>281</v>
      </c>
      <c r="B9" s="547"/>
      <c r="E9" s="549"/>
      <c r="F9" s="549"/>
      <c r="G9" s="549"/>
      <c r="H9" s="549"/>
      <c r="I9" s="549"/>
      <c r="J9" s="549"/>
    </row>
    <row r="10" spans="1:22" hidden="1" outlineLevel="1">
      <c r="A10" s="546" t="s">
        <v>548</v>
      </c>
      <c r="B10" s="527" t="s">
        <v>588</v>
      </c>
      <c r="D10" s="455">
        <f>IF(Założenia!$D$15=Wstęp!$A$14,'Emisje W0 trasa istniejąca'!B44,0)</f>
        <v>0.95830560000000009</v>
      </c>
      <c r="E10" s="549"/>
    </row>
    <row r="11" spans="1:22" hidden="1" outlineLevel="1">
      <c r="A11" s="546" t="s">
        <v>549</v>
      </c>
      <c r="B11" s="527" t="s">
        <v>588</v>
      </c>
      <c r="D11" s="455">
        <f>IF(Założenia!$E$15=Wstęp!$A$14,'Emisje W0 trasa istniejąca'!B63,0)</f>
        <v>0.95830560000000009</v>
      </c>
    </row>
    <row r="12" spans="1:22" hidden="1" outlineLevel="1">
      <c r="A12" s="546" t="s">
        <v>550</v>
      </c>
      <c r="B12" s="527" t="s">
        <v>588</v>
      </c>
      <c r="D12" s="581">
        <f>IF(Założenia!$F$15=Wstęp!$A$14,'Emisje W0 trasa istniejąca'!B82,0)</f>
        <v>0</v>
      </c>
    </row>
    <row r="13" spans="1:22" hidden="1" outlineLevel="1">
      <c r="A13" s="453" t="s">
        <v>581</v>
      </c>
    </row>
    <row r="14" spans="1:22" hidden="1" outlineLevel="1">
      <c r="A14" s="546" t="s">
        <v>548</v>
      </c>
      <c r="B14" s="527" t="s">
        <v>584</v>
      </c>
      <c r="D14" s="558">
        <f>$D10/(10^3)</f>
        <v>9.583056000000001E-4</v>
      </c>
    </row>
    <row r="15" spans="1:22" hidden="1" outlineLevel="1">
      <c r="A15" s="546" t="s">
        <v>549</v>
      </c>
      <c r="B15" s="527" t="s">
        <v>584</v>
      </c>
      <c r="D15" s="558">
        <f t="shared" ref="D15:D16" si="0">$D11/(10^3)</f>
        <v>9.583056000000001E-4</v>
      </c>
    </row>
    <row r="16" spans="1:22" hidden="1" outlineLevel="1">
      <c r="A16" s="546" t="s">
        <v>550</v>
      </c>
      <c r="B16" s="527" t="s">
        <v>584</v>
      </c>
      <c r="D16" s="558">
        <f t="shared" si="0"/>
        <v>0</v>
      </c>
    </row>
    <row r="17" spans="1:22" s="579" customFormat="1" hidden="1" outlineLevel="1">
      <c r="A17" s="546"/>
      <c r="B17" s="527"/>
      <c r="D17" s="558"/>
    </row>
    <row r="18" spans="1:22" ht="18" hidden="1" outlineLevel="1">
      <c r="A18" s="545" t="s">
        <v>582</v>
      </c>
      <c r="D18" s="189" t="s">
        <v>232</v>
      </c>
      <c r="E18" s="189" t="s">
        <v>682</v>
      </c>
      <c r="F18" s="189" t="s">
        <v>233</v>
      </c>
    </row>
    <row r="19" spans="1:22" hidden="1" outlineLevel="1">
      <c r="A19" s="546" t="s">
        <v>548</v>
      </c>
      <c r="B19" s="527" t="s">
        <v>262</v>
      </c>
      <c r="D19" s="581">
        <f>IF(Założenia!$D$15=Wstęp!$A$14,'Emisje W0 trasa istniejąca'!F$37,0)</f>
        <v>1.6560000000000004</v>
      </c>
      <c r="E19" s="581">
        <f>IF(Założenia!$D$15=Wstęp!$A$14,'Emisje W0 trasa istniejąca'!G$37,0)</f>
        <v>7.2000000000000011</v>
      </c>
      <c r="F19" s="581">
        <f>IF(Założenia!$D$15=Wstęp!$A$14,'Emisje W0 trasa istniejąca'!H$37,0)</f>
        <v>7.2000000000000008E-2</v>
      </c>
    </row>
    <row r="20" spans="1:22" hidden="1" outlineLevel="1">
      <c r="A20" s="546" t="s">
        <v>549</v>
      </c>
      <c r="B20" s="527" t="s">
        <v>262</v>
      </c>
      <c r="D20" s="581">
        <f>IF(Założenia!$E$15=Wstęp!$A$14,'Emisje W0 trasa istniejąca'!F$55,0)</f>
        <v>1.6560000000000004</v>
      </c>
      <c r="E20" s="581">
        <f>IF(Założenia!$E$15=Wstęp!$A$14,'Emisje W0 trasa istniejąca'!G$55,0)</f>
        <v>12.600000000000001</v>
      </c>
      <c r="F20" s="581">
        <f>IF(Założenia!$E$15=Wstęp!$A$14,'Emisje W0 trasa istniejąca'!H$55,0)</f>
        <v>7.2000000000000008E-2</v>
      </c>
    </row>
    <row r="21" spans="1:22" hidden="1" outlineLevel="1">
      <c r="A21" s="546" t="s">
        <v>550</v>
      </c>
      <c r="B21" s="527" t="s">
        <v>262</v>
      </c>
      <c r="D21" s="581">
        <f>IF(Założenia!$F$15=Wstęp!$A$14,'Emisje W0 trasa istniejąca'!F$74,0)</f>
        <v>0</v>
      </c>
      <c r="E21" s="581">
        <f>IF(Założenia!$F$15=Wstęp!$A$14,'Emisje W0 trasa istniejąca'!G$74,0)</f>
        <v>0</v>
      </c>
      <c r="F21" s="581">
        <f>IF(Założenia!$F$15=Wstęp!$A$14,'Emisje W0 trasa istniejąca'!H$74,0)</f>
        <v>0</v>
      </c>
    </row>
    <row r="22" spans="1:22" hidden="1" outlineLevel="1">
      <c r="A22" s="453" t="s">
        <v>583</v>
      </c>
    </row>
    <row r="23" spans="1:22" hidden="1" outlineLevel="1">
      <c r="A23" s="546" t="s">
        <v>548</v>
      </c>
      <c r="B23" s="527" t="s">
        <v>584</v>
      </c>
      <c r="D23" s="550">
        <f>D19/(10^6)</f>
        <v>1.6560000000000003E-6</v>
      </c>
      <c r="E23" s="550">
        <f t="shared" ref="E23:F23" si="1">E19/(10^6)</f>
        <v>7.2000000000000014E-6</v>
      </c>
      <c r="F23" s="550">
        <f t="shared" si="1"/>
        <v>7.2000000000000009E-8</v>
      </c>
    </row>
    <row r="24" spans="1:22" hidden="1" outlineLevel="1">
      <c r="A24" s="546" t="s">
        <v>549</v>
      </c>
      <c r="B24" s="527" t="s">
        <v>584</v>
      </c>
      <c r="D24" s="550">
        <f t="shared" ref="D24:F25" si="2">D20/(10^6)</f>
        <v>1.6560000000000003E-6</v>
      </c>
      <c r="E24" s="550">
        <f t="shared" si="2"/>
        <v>1.2600000000000001E-5</v>
      </c>
      <c r="F24" s="550">
        <f t="shared" si="2"/>
        <v>7.2000000000000009E-8</v>
      </c>
    </row>
    <row r="25" spans="1:22" hidden="1" outlineLevel="1">
      <c r="A25" s="546" t="s">
        <v>550</v>
      </c>
      <c r="B25" s="527" t="s">
        <v>584</v>
      </c>
      <c r="D25" s="550">
        <f t="shared" si="2"/>
        <v>0</v>
      </c>
      <c r="E25" s="550">
        <f t="shared" si="2"/>
        <v>0</v>
      </c>
      <c r="F25" s="550">
        <f t="shared" si="2"/>
        <v>0</v>
      </c>
    </row>
    <row r="26" spans="1:22" hidden="1" outlineLevel="1"/>
    <row r="27" spans="1:22" ht="18" hidden="1" outlineLevel="1">
      <c r="A27" s="533" t="s">
        <v>683</v>
      </c>
      <c r="B27" s="527" t="s">
        <v>587</v>
      </c>
      <c r="E27" s="133">
        <f>'Zmiany klimatu (GHG) samochody'!V$101</f>
        <v>487.60665354656209</v>
      </c>
      <c r="F27" s="133">
        <f>'Zmiany klimatu (GHG) samochody'!W$101</f>
        <v>573.06348973513491</v>
      </c>
      <c r="G27" s="133">
        <f>'Zmiany klimatu (GHG) samochody'!X$101</f>
        <v>658.52032592370756</v>
      </c>
      <c r="H27" s="133">
        <f>'Zmiany klimatu (GHG) samochody'!Y$101</f>
        <v>743.97716211228033</v>
      </c>
      <c r="I27" s="133">
        <f>'Zmiany klimatu (GHG) samochody'!Z$101</f>
        <v>829.43399830085309</v>
      </c>
      <c r="J27" s="133">
        <f>'Zmiany klimatu (GHG) samochody'!AA$101</f>
        <v>914.89083448942586</v>
      </c>
      <c r="K27" s="133">
        <f>'Zmiany klimatu (GHG) samochody'!AB$101</f>
        <v>1000.3476706779985</v>
      </c>
      <c r="L27" s="133">
        <f>'Zmiany klimatu (GHG) samochody'!AC$101</f>
        <v>1085.8045068665713</v>
      </c>
      <c r="M27" s="133">
        <f>'Zmiany klimatu (GHG) samochody'!AD$101</f>
        <v>1171.2613430551439</v>
      </c>
      <c r="N27" s="133">
        <f>'Zmiany klimatu (GHG) samochody'!AE$101</f>
        <v>1256.7181792437168</v>
      </c>
      <c r="O27" s="133">
        <f>'Zmiany klimatu (GHG) samochody'!AF$101</f>
        <v>1397.4706153190129</v>
      </c>
      <c r="P27" s="133">
        <f>'Zmiany klimatu (GHG) samochody'!AG$101</f>
        <v>1538.2230513943093</v>
      </c>
      <c r="Q27" s="133">
        <f>'Zmiany klimatu (GHG) samochody'!AH$101</f>
        <v>1678.9754874696057</v>
      </c>
      <c r="R27" s="133">
        <f>'Zmiany klimatu (GHG) samochody'!AI$101</f>
        <v>1819.7279235449018</v>
      </c>
      <c r="S27" s="133">
        <f>'Zmiany klimatu (GHG) samochody'!AJ$101</f>
        <v>1960.480359620198</v>
      </c>
      <c r="T27" s="133">
        <f>'Zmiany klimatu (GHG) samochody'!AK$101</f>
        <v>2096.2059229785195</v>
      </c>
      <c r="U27" s="133">
        <f>'Zmiany klimatu (GHG) samochody'!AL$101</f>
        <v>2231.9314863368409</v>
      </c>
      <c r="V27" s="133">
        <f>'Zmiany klimatu (GHG) samochody'!AM$101</f>
        <v>2367.6570496951622</v>
      </c>
    </row>
    <row r="28" spans="1:22" hidden="1" outlineLevel="1">
      <c r="A28" s="533" t="s">
        <v>585</v>
      </c>
      <c r="B28" s="527" t="s">
        <v>587</v>
      </c>
      <c r="E28" s="133">
        <f>'Zanieczyszczenia transp.ląd'!V$54</f>
        <v>2775.5780840565394</v>
      </c>
      <c r="F28" s="133">
        <f>'Zanieczyszczenia transp.ląd'!W$54</f>
        <v>2864.3779770402962</v>
      </c>
      <c r="G28" s="133">
        <f>'Zanieczyszczenia transp.ląd'!X$54</f>
        <v>2942.622553397463</v>
      </c>
      <c r="H28" s="133">
        <f>'Zanieczyszczenia transp.ląd'!Y$54</f>
        <v>3018.7100927990373</v>
      </c>
      <c r="I28" s="133">
        <f>'Zanieczyszczenia transp.ląd'!Z$54</f>
        <v>3099.6333834033967</v>
      </c>
      <c r="J28" s="133">
        <f>'Zanieczyszczenia transp.ląd'!AA$54</f>
        <v>3180.7033797718391</v>
      </c>
      <c r="K28" s="133">
        <f>'Zanieczyszczenia transp.ląd'!AB$54</f>
        <v>3264.3719755544739</v>
      </c>
      <c r="L28" s="133">
        <f>'Zanieczyszczenia transp.ląd'!AC$54</f>
        <v>3348.1097578138606</v>
      </c>
      <c r="M28" s="133">
        <f>'Zanieczyszczenia transp.ląd'!AD$54</f>
        <v>3431.7967097857018</v>
      </c>
      <c r="N28" s="133">
        <f>'Zanieczyszczenia transp.ląd'!AE$54</f>
        <v>3515.3052143362311</v>
      </c>
      <c r="O28" s="133">
        <f>'Zanieczyszczenia transp.ląd'!AF$54</f>
        <v>3601.4027034478368</v>
      </c>
      <c r="P28" s="133">
        <f>'Zanieczyszczenia transp.ląd'!AG$54</f>
        <v>3687.2532350242773</v>
      </c>
      <c r="Q28" s="133">
        <f>'Zanieczyszczenia transp.ląd'!AH$54</f>
        <v>3775.6587618493991</v>
      </c>
      <c r="R28" s="133">
        <f>'Zanieczyszczenia transp.ląd'!AI$54</f>
        <v>3863.6247794016813</v>
      </c>
      <c r="S28" s="133">
        <f>'Zanieczyszczenia transp.ląd'!AJ$54</f>
        <v>3950.959892988014</v>
      </c>
      <c r="T28" s="133">
        <f>'Zanieczyszczenia transp.ląd'!AK$54</f>
        <v>4037.5245721617416</v>
      </c>
      <c r="U28" s="133">
        <f>'Zanieczyszczenia transp.ląd'!AL$54</f>
        <v>4123.1278812632536</v>
      </c>
      <c r="V28" s="133">
        <f>'Zanieczyszczenia transp.ląd'!AM$54</f>
        <v>4207.5758655603167</v>
      </c>
    </row>
    <row r="29" spans="1:22" ht="18" hidden="1" outlineLevel="1">
      <c r="A29" s="541" t="s">
        <v>684</v>
      </c>
      <c r="B29" s="527" t="s">
        <v>587</v>
      </c>
      <c r="E29" s="133">
        <f>AVERAGE('Zanieczyszczenia transp.ląd'!V$56,'Zanieczyszczenia transp.ląd'!V$57)</f>
        <v>46788.316274095952</v>
      </c>
      <c r="F29" s="133">
        <f>AVERAGE('Zanieczyszczenia transp.ląd'!W$56,'Zanieczyszczenia transp.ląd'!W$57)</f>
        <v>48285.228755822143</v>
      </c>
      <c r="G29" s="133">
        <f>AVERAGE('Zanieczyszczenia transp.ląd'!X$56,'Zanieczyszczenia transp.ląd'!X$57)</f>
        <v>49604.208757271525</v>
      </c>
      <c r="H29" s="133">
        <f>AVERAGE('Zanieczyszczenia transp.ląd'!Y$56,'Zanieczyszczenia transp.ląd'!Y$57)</f>
        <v>50886.827278612349</v>
      </c>
      <c r="I29" s="133">
        <f>AVERAGE('Zanieczyszczenia transp.ląd'!Z$56,'Zanieczyszczenia transp.ląd'!Z$57)</f>
        <v>52250.962748800121</v>
      </c>
      <c r="J29" s="133">
        <f>AVERAGE('Zanieczyszczenia transp.ląd'!AA$56,'Zanieczyszczenia transp.ląd'!AA$57)</f>
        <v>53617.571259011005</v>
      </c>
      <c r="K29" s="133">
        <f>AVERAGE('Zanieczyszczenia transp.ląd'!AB$56,'Zanieczyszczenia transp.ląd'!AB$57)</f>
        <v>55027.984730775424</v>
      </c>
      <c r="L29" s="133">
        <f>AVERAGE('Zanieczyszczenia transp.ląd'!AC$56,'Zanieczyszczenia transp.ląd'!AC$57)</f>
        <v>56439.564488862219</v>
      </c>
      <c r="M29" s="133">
        <f>AVERAGE('Zanieczyszczenia transp.ląd'!AD$56,'Zanieczyszczenia transp.ląd'!AD$57)</f>
        <v>57850.287393530394</v>
      </c>
      <c r="N29" s="133">
        <f>AVERAGE('Zanieczyszczenia transp.ląd'!AE$56,'Zanieczyszczenia transp.ląd'!AE$57)</f>
        <v>59258.00218452503</v>
      </c>
      <c r="O29" s="133">
        <f>AVERAGE('Zanieczyszczenia transp.ląd'!AF$56,'Zanieczyszczenia transp.ląd'!AF$57)</f>
        <v>60709.359858120675</v>
      </c>
      <c r="P29" s="133">
        <f>AVERAGE('Zanieczyszczenia transp.ląd'!AG$56,'Zanieczyszczenia transp.ląd'!AG$57)</f>
        <v>62156.55453326639</v>
      </c>
      <c r="Q29" s="133">
        <f>AVERAGE('Zanieczyszczenia transp.ląd'!AH$56,'Zanieczyszczenia transp.ląd'!AH$57)</f>
        <v>63646.819128318442</v>
      </c>
      <c r="R29" s="133">
        <f>AVERAGE('Zanieczyszczenia transp.ląd'!AI$56,'Zanieczyszczenia transp.ląd'!AI$57)</f>
        <v>65129.674852771204</v>
      </c>
      <c r="S29" s="133">
        <f>AVERAGE('Zanieczyszczenia transp.ląd'!AJ$56,'Zanieczyszczenia transp.ląd'!AJ$57)</f>
        <v>66601.895338940813</v>
      </c>
      <c r="T29" s="133">
        <f>AVERAGE('Zanieczyszczenia transp.ląd'!AK$56,'Zanieczyszczenia transp.ląd'!AK$57)</f>
        <v>68061.128502155072</v>
      </c>
      <c r="U29" s="133">
        <f>AVERAGE('Zanieczyszczenia transp.ląd'!AL$56,'Zanieczyszczenia transp.ląd'!AL$57)</f>
        <v>69504.155712723412</v>
      </c>
      <c r="V29" s="133">
        <f>AVERAGE('Zanieczyszczenia transp.ląd'!AM$56,'Zanieczyszczenia transp.ląd'!AM$57)</f>
        <v>70927.707448016765</v>
      </c>
    </row>
    <row r="30" spans="1:22" hidden="1" outlineLevel="1">
      <c r="A30" t="s">
        <v>586</v>
      </c>
      <c r="B30" s="527" t="s">
        <v>587</v>
      </c>
      <c r="E30" s="133">
        <f>AVERAGE('Zanieczyszczenia transp.ląd'!V$59:V$60)+'Zanieczyszczenia transp.ląd'!V$61</f>
        <v>304124.05578162376</v>
      </c>
      <c r="F30" s="133">
        <f>AVERAGE('Zanieczyszczenia transp.ląd'!W$59:W$60)+'Zanieczyszczenia transp.ląd'!W$61</f>
        <v>313853.98691284395</v>
      </c>
      <c r="G30" s="133">
        <f>AVERAGE('Zanieczyszczenia transp.ląd'!X$59:X$60)+'Zanieczyszczenia transp.ląd'!X$61</f>
        <v>322427.35692226497</v>
      </c>
      <c r="H30" s="133">
        <f>AVERAGE('Zanieczyszczenia transp.ląd'!Y$59:Y$60)+'Zanieczyszczenia transp.ląd'!Y$61</f>
        <v>330764.37731098029</v>
      </c>
      <c r="I30" s="133">
        <f>AVERAGE('Zanieczyszczenia transp.ląd'!Z$59:Z$60)+'Zanieczyszczenia transp.ląd'!Z$61</f>
        <v>339631.25786720088</v>
      </c>
      <c r="J30" s="133">
        <f>AVERAGE('Zanieczyszczenia transp.ląd'!AA$59:AA$60)+'Zanieczyszczenia transp.ląd'!AA$61</f>
        <v>348514.21318357158</v>
      </c>
      <c r="K30" s="133">
        <f>AVERAGE('Zanieczyszczenia transp.ląd'!AB$59:AB$60)+'Zanieczyszczenia transp.ląd'!AB$61</f>
        <v>357681.90075004025</v>
      </c>
      <c r="L30" s="133">
        <f>AVERAGE('Zanieczyszczenia transp.ląd'!AC$59:AC$60)+'Zanieczyszczenia transp.ląd'!AC$61</f>
        <v>366857.16917760449</v>
      </c>
      <c r="M30" s="133">
        <f>AVERAGE('Zanieczyszczenia transp.ląd'!AD$59:AD$60)+'Zanieczyszczenia transp.ląd'!AD$61</f>
        <v>376026.86805794766</v>
      </c>
      <c r="N30" s="133">
        <f>AVERAGE('Zanieczyszczenia transp.ląd'!AE$59:AE$60)+'Zanieczyszczenia transp.ląd'!AE$61</f>
        <v>385177.01419941284</v>
      </c>
      <c r="O30" s="133">
        <f>AVERAGE('Zanieczyszczenia transp.ląd'!AF$59:AF$60)+'Zanieczyszczenia transp.ląd'!AF$61</f>
        <v>394610.83907778445</v>
      </c>
      <c r="P30" s="133">
        <f>AVERAGE('Zanieczyszczenia transp.ląd'!AG$59:AG$60)+'Zanieczyszczenia transp.ląd'!AG$61</f>
        <v>404017.6044662316</v>
      </c>
      <c r="Q30" s="133">
        <f>AVERAGE('Zanieczyszczenia transp.ląd'!AH$59:AH$60)+'Zanieczyszczenia transp.ląd'!AH$61</f>
        <v>413704.32433406997</v>
      </c>
      <c r="R30" s="133">
        <f>AVERAGE('Zanieczyszczenia transp.ląd'!AI$59:AI$60)+'Zanieczyszczenia transp.ląd'!AI$61</f>
        <v>423342.88654301292</v>
      </c>
      <c r="S30" s="133">
        <f>AVERAGE('Zanieczyszczenia transp.ląd'!AJ$59:AJ$60)+'Zanieczyszczenia transp.ląd'!AJ$61</f>
        <v>432912.31970311538</v>
      </c>
      <c r="T30" s="133">
        <f>AVERAGE('Zanieczyszczenia transp.ląd'!AK$59:AK$60)+'Zanieczyszczenia transp.ląd'!AK$61</f>
        <v>442397.33526400814</v>
      </c>
      <c r="U30" s="133">
        <f>AVERAGE('Zanieczyszczenia transp.ląd'!AL$59:AL$60)+'Zanieczyszczenia transp.ląd'!AL$61</f>
        <v>451777.01213270234</v>
      </c>
      <c r="V30" s="133">
        <f>AVERAGE('Zanieczyszczenia transp.ląd'!AM$59:AM$60)+'Zanieczyszczenia transp.ląd'!AM$61</f>
        <v>461030.09841210913</v>
      </c>
    </row>
    <row r="31" spans="1:22" hidden="1" outlineLevel="1">
      <c r="C31" t="s">
        <v>689</v>
      </c>
    </row>
    <row r="32" spans="1:22" s="541" customFormat="1" ht="18" hidden="1" outlineLevel="1">
      <c r="A32" s="541" t="s">
        <v>685</v>
      </c>
      <c r="B32" s="527" t="s">
        <v>591</v>
      </c>
      <c r="C32" s="551">
        <f>SUM(E32:S32)</f>
        <v>11499.667200000004</v>
      </c>
      <c r="E32" s="133">
        <f>SUMPRODUCT($D$14:$D$16,Założenia!E$93:E$95)</f>
        <v>766.64448000000016</v>
      </c>
      <c r="F32" s="133">
        <f>SUMPRODUCT($D$14:$D$16,Założenia!F$93:F$95)</f>
        <v>766.64448000000016</v>
      </c>
      <c r="G32" s="133">
        <f>SUMPRODUCT($D$14:$D$16,Założenia!G$93:G$95)</f>
        <v>766.64448000000016</v>
      </c>
      <c r="H32" s="133">
        <f>SUMPRODUCT($D$14:$D$16,Założenia!H$93:H$95)</f>
        <v>766.64448000000016</v>
      </c>
      <c r="I32" s="133">
        <f>SUMPRODUCT($D$14:$D$16,Założenia!I$93:I$95)</f>
        <v>766.64448000000016</v>
      </c>
      <c r="J32" s="133">
        <f>SUMPRODUCT($D$14:$D$16,Założenia!J$93:J$95)</f>
        <v>766.64448000000016</v>
      </c>
      <c r="K32" s="133">
        <f>SUMPRODUCT($D$14:$D$16,Założenia!K$93:K$95)</f>
        <v>766.64448000000016</v>
      </c>
      <c r="L32" s="133">
        <f>SUMPRODUCT($D$14:$D$16,Założenia!L$93:L$95)</f>
        <v>766.64448000000016</v>
      </c>
      <c r="M32" s="133">
        <f>SUMPRODUCT($D$14:$D$16,Założenia!M$93:M$95)</f>
        <v>766.64448000000016</v>
      </c>
      <c r="N32" s="133">
        <f>SUMPRODUCT($D$14:$D$16,Założenia!N$93:N$95)</f>
        <v>766.64448000000016</v>
      </c>
      <c r="O32" s="133">
        <f>SUMPRODUCT($D$14:$D$16,Założenia!O$93:O$95)</f>
        <v>766.64448000000016</v>
      </c>
      <c r="P32" s="133">
        <f>SUMPRODUCT($D$14:$D$16,Założenia!P$93:P$95)</f>
        <v>766.64448000000016</v>
      </c>
      <c r="Q32" s="133">
        <f>SUMPRODUCT($D$14:$D$16,Założenia!Q$93:Q$95)</f>
        <v>766.64448000000016</v>
      </c>
      <c r="R32" s="133">
        <f>SUMPRODUCT($D$14:$D$16,Założenia!R$93:R$95)</f>
        <v>766.64448000000016</v>
      </c>
      <c r="S32" s="133">
        <f>SUMPRODUCT($D$14:$D$16,Założenia!S$93:S$95)</f>
        <v>766.64448000000016</v>
      </c>
      <c r="T32" s="133">
        <f>SUMPRODUCT($D$14:$D$16,Założenia!T$93:T$95)</f>
        <v>0</v>
      </c>
      <c r="U32" s="133">
        <f>SUMPRODUCT($D$14:$D$16,Założenia!U$93:U$95)</f>
        <v>0</v>
      </c>
      <c r="V32" s="133">
        <f>SUMPRODUCT($D$14:$D$16,Założenia!V$93:V$95)</f>
        <v>0</v>
      </c>
    </row>
    <row r="33" spans="1:22" ht="18" hidden="1" outlineLevel="1">
      <c r="A33" s="1" t="s">
        <v>686</v>
      </c>
      <c r="B33" s="527" t="s">
        <v>590</v>
      </c>
      <c r="C33" s="551">
        <f>SUM(E33:S33)</f>
        <v>13122271.469547365</v>
      </c>
      <c r="E33" s="133">
        <f>E$32*E$27</f>
        <v>373820.94935274433</v>
      </c>
      <c r="F33" s="133">
        <f t="shared" ref="F33:V33" si="3">F$32*F$27</f>
        <v>439335.96109497792</v>
      </c>
      <c r="G33" s="133">
        <f t="shared" si="3"/>
        <v>504850.97283721139</v>
      </c>
      <c r="H33" s="133">
        <f t="shared" si="3"/>
        <v>570365.98457944498</v>
      </c>
      <c r="I33" s="133">
        <f t="shared" si="3"/>
        <v>635880.99632167851</v>
      </c>
      <c r="J33" s="133">
        <f t="shared" si="3"/>
        <v>701396.00806391204</v>
      </c>
      <c r="K33" s="133">
        <f t="shared" si="3"/>
        <v>766911.01980614557</v>
      </c>
      <c r="L33" s="133">
        <f t="shared" si="3"/>
        <v>832426.03154837911</v>
      </c>
      <c r="M33" s="133">
        <f t="shared" si="3"/>
        <v>897941.04329061264</v>
      </c>
      <c r="N33" s="133">
        <f t="shared" si="3"/>
        <v>963456.05503284629</v>
      </c>
      <c r="O33" s="133">
        <f t="shared" si="3"/>
        <v>1071363.133196525</v>
      </c>
      <c r="P33" s="133">
        <f t="shared" si="3"/>
        <v>1179270.2113602038</v>
      </c>
      <c r="Q33" s="133">
        <f t="shared" si="3"/>
        <v>1287177.2895238826</v>
      </c>
      <c r="R33" s="133">
        <f t="shared" si="3"/>
        <v>1395084.3676875613</v>
      </c>
      <c r="S33" s="133">
        <f t="shared" si="3"/>
        <v>1502991.4458512401</v>
      </c>
      <c r="T33" s="133">
        <f t="shared" si="3"/>
        <v>0</v>
      </c>
      <c r="U33" s="133">
        <f t="shared" si="3"/>
        <v>0</v>
      </c>
      <c r="V33" s="133">
        <f t="shared" si="3"/>
        <v>0</v>
      </c>
    </row>
    <row r="34" spans="1:22" s="541" customFormat="1" hidden="1" outlineLevel="1">
      <c r="A34" s="1" t="s">
        <v>592</v>
      </c>
      <c r="B34" s="527" t="s">
        <v>590</v>
      </c>
      <c r="C34" s="551">
        <f>SUM(E34:S34)</f>
        <v>7835306.7139873048</v>
      </c>
      <c r="E34" s="133">
        <f>SUMPRODUCT($D$23:$D$25,Założenia!E$93:E$95)*E$28+SUMPRODUCT($E$23:$E$25,Założenia!E$93:E$95)*E$29+SUMPRODUCT($F$23:$F$25,Założenia!E$93:E$95)*E$30</f>
        <v>432183.20161043853</v>
      </c>
      <c r="F34" s="133">
        <f>SUMPRODUCT($D$23:$D$25,Założenia!F$93:F$95)*F$28+SUMPRODUCT($E$23:$E$25,Założenia!F$93:F$95)*F$29+SUMPRODUCT($F$23:$F$25,Założenia!F$93:F$95)*F$30</f>
        <v>446010.16698130459</v>
      </c>
      <c r="G34" s="133">
        <f>SUMPRODUCT($D$23:$D$25,Założenia!G$93:G$95)*G$28+SUMPRODUCT($E$23:$E$25,Założenia!G$93:G$95)*G$29+SUMPRODUCT($F$23:$F$25,Założenia!G$93:G$95)*G$30</f>
        <v>458193.57184133655</v>
      </c>
      <c r="H34" s="133">
        <f>SUMPRODUCT($D$23:$D$25,Założenia!H$93:H$95)*H$28+SUMPRODUCT($E$23:$E$25,Założenia!H$93:H$95)*H$29+SUMPRODUCT($F$23:$F$25,Założenia!H$93:H$95)*H$30</f>
        <v>470041.10607938352</v>
      </c>
      <c r="I34" s="133">
        <f>SUMPRODUCT($D$23:$D$25,Założenia!I$93:I$95)*I$28+SUMPRODUCT($E$23:$E$25,Założenia!I$93:I$95)*I$29+SUMPRODUCT($F$23:$F$25,Założenia!I$93:I$95)*I$30</f>
        <v>482641.61154494388</v>
      </c>
      <c r="J34" s="133">
        <f>SUMPRODUCT($D$23:$D$25,Założenia!J$93:J$95)*J$28+SUMPRODUCT($E$23:$E$25,Założenia!J$93:J$95)*J$29+SUMPRODUCT($F$23:$F$25,Założenia!J$93:J$95)*J$30</f>
        <v>495264.9604560482</v>
      </c>
      <c r="K34" s="133">
        <f>SUMPRODUCT($D$23:$D$25,Założenia!K$93:K$95)*K$28+SUMPRODUCT($E$23:$E$25,Założenia!K$93:K$95)*K$29+SUMPRODUCT($F$23:$F$25,Założenia!K$93:K$95)*K$30</f>
        <v>508292.93535154825</v>
      </c>
      <c r="L34" s="133">
        <f>SUMPRODUCT($D$23:$D$25,Założenia!L$93:L$95)*L$28+SUMPRODUCT($E$23:$E$25,Założenia!L$93:L$95)*L$29+SUMPRODUCT($F$23:$F$25,Założenia!L$93:L$95)*L$30</f>
        <v>521331.68322194758</v>
      </c>
      <c r="M34" s="133">
        <f>SUMPRODUCT($D$23:$D$25,Założenia!M$93:M$95)*M$28+SUMPRODUCT($E$23:$E$25,Założenia!M$93:M$95)*M$29+SUMPRODUCT($F$23:$F$25,Założenia!M$93:M$95)*M$30</f>
        <v>534362.51634603285</v>
      </c>
      <c r="N34" s="133">
        <f>SUMPRODUCT($D$23:$D$25,Założenia!N$93:N$95)*N$28+SUMPRODUCT($E$23:$E$25,Założenia!N$93:N$95)*N$29+SUMPRODUCT($F$23:$F$25,Założenia!N$93:N$95)*N$30</f>
        <v>547365.56355470663</v>
      </c>
      <c r="O34" s="133">
        <f>SUMPRODUCT($D$23:$D$25,Założenia!O$93:O$95)*O$28+SUMPRODUCT($E$23:$E$25,Założenia!O$93:O$95)*O$29+SUMPRODUCT($F$23:$F$25,Założenia!O$93:O$95)*O$30</f>
        <v>560771.73962614022</v>
      </c>
      <c r="P34" s="133">
        <f>SUMPRODUCT($D$23:$D$25,Założenia!P$93:P$95)*P$28+SUMPRODUCT($E$23:$E$25,Założenia!P$93:P$95)*P$29+SUMPRODUCT($F$23:$F$25,Założenia!P$93:P$95)*P$30</f>
        <v>574139.46212322707</v>
      </c>
      <c r="Q34" s="133">
        <f>SUMPRODUCT($D$23:$D$25,Założenia!Q$93:Q$95)*Q$28+SUMPRODUCT($E$23:$E$25,Założenia!Q$93:Q$95)*Q$29+SUMPRODUCT($F$23:$F$25,Założenia!Q$93:Q$95)*Q$30</f>
        <v>587905.02103248984</v>
      </c>
      <c r="R34" s="133">
        <f>SUMPRODUCT($D$23:$D$25,Założenia!R$93:R$95)*R$28+SUMPRODUCT($E$23:$E$25,Założenia!R$93:R$95)*R$29+SUMPRODUCT($F$23:$F$25,Założenia!R$93:R$95)*R$30</f>
        <v>601602.14427937113</v>
      </c>
      <c r="S34" s="133">
        <f>SUMPRODUCT($D$23:$D$25,Założenia!S$93:S$95)*S$28+SUMPRODUCT($E$23:$E$25,Założenia!S$93:S$95)*S$29+SUMPRODUCT($F$23:$F$25,Założenia!S$93:S$95)*S$30</f>
        <v>615201.02993838605</v>
      </c>
      <c r="T34" s="133">
        <f>SUMPRODUCT($D$23:$D$25,Założenia!T$93:T$95)*T$28+SUMPRODUCT($E$23:$E$25,Założenia!T$93:T$95)*T$29+SUMPRODUCT($F$23:$F$25,Założenia!T$93:T$95)*T$30</f>
        <v>0</v>
      </c>
      <c r="U34" s="133">
        <f>SUMPRODUCT($D$23:$D$25,Założenia!U$93:U$95)*U$28+SUMPRODUCT($E$23:$E$25,Założenia!U$93:U$95)*U$29+SUMPRODUCT($F$23:$F$25,Założenia!U$93:U$95)*U$30</f>
        <v>0</v>
      </c>
      <c r="V34" s="133">
        <f>SUMPRODUCT($D$23:$D$25,Założenia!V$93:V$95)*V$28+SUMPRODUCT($E$23:$E$25,Założenia!V$93:V$95)*V$29+SUMPRODUCT($F$23:$F$25,Założenia!V$93:V$95)*V$30</f>
        <v>0</v>
      </c>
    </row>
    <row r="35" spans="1:22" s="541" customFormat="1" hidden="1" outlineLevel="1">
      <c r="A35" s="1" t="s">
        <v>595</v>
      </c>
      <c r="B35" s="527" t="s">
        <v>590</v>
      </c>
      <c r="C35" s="559">
        <f>SUM(E35:S35)</f>
        <v>16082622.625741873</v>
      </c>
      <c r="E35" s="609">
        <f>(E33+E34)*Założenia!E11</f>
        <v>782528.30190600269</v>
      </c>
      <c r="F35" s="609">
        <f>(F33+F34)*Założenia!F11</f>
        <v>834523.63849211286</v>
      </c>
      <c r="G35" s="609">
        <f>(G33+G34)*Założenia!G11</f>
        <v>881322.18264813442</v>
      </c>
      <c r="H35" s="609">
        <f>(H33+H34)*Założenia!H11</f>
        <v>924388.22461001319</v>
      </c>
      <c r="I35" s="609">
        <f>(I33+I34)*Założenia!I11</f>
        <v>964847.42707803228</v>
      </c>
      <c r="J35" s="609">
        <f>(J33+J34)*Założenia!J11</f>
        <v>1002184.721723281</v>
      </c>
      <c r="K35" s="609">
        <f>(K33+K34)*Założenia!K11</f>
        <v>1036857.5111701917</v>
      </c>
      <c r="L35" s="609">
        <f>(L33+L34)*Założenia!L11</f>
        <v>1068668.841063427</v>
      </c>
      <c r="M35" s="609">
        <f>(M33+M34)*Założenia!M11</f>
        <v>1097741.4139008631</v>
      </c>
      <c r="N35" s="609">
        <f>(N33+N34)*Założenia!N11</f>
        <v>1124193.1728854193</v>
      </c>
      <c r="O35" s="609">
        <f>(O33+O34)*Założenia!O11</f>
        <v>1179088.9584059084</v>
      </c>
      <c r="P35" s="609">
        <f>(P33+P34)*Założenia!P11</f>
        <v>1229806.266717009</v>
      </c>
      <c r="Q35" s="609">
        <f>(Q33+Q34)*Założenia!Q11</f>
        <v>1276839.8119708661</v>
      </c>
      <c r="R35" s="609">
        <f>(R33+R34)*Założenia!R11</f>
        <v>1320045.0056992106</v>
      </c>
      <c r="S35" s="609">
        <f>(S33+S34)*Założenia!S11</f>
        <v>1359587.1474714042</v>
      </c>
      <c r="T35" s="609">
        <f>(T33+T34)*Założenia!T11</f>
        <v>0</v>
      </c>
      <c r="U35" s="609">
        <f>(U33+U34)*Założenia!U11</f>
        <v>0</v>
      </c>
      <c r="V35" s="609">
        <f>(V33+V34)*Założenia!V11</f>
        <v>0</v>
      </c>
    </row>
    <row r="36" spans="1:22" s="541" customFormat="1" hidden="1" outlineLevel="1">
      <c r="B36" s="527"/>
      <c r="C36" s="560"/>
      <c r="E36" s="133"/>
      <c r="F36" s="133"/>
      <c r="G36" s="133"/>
      <c r="H36" s="133"/>
      <c r="I36" s="133"/>
      <c r="J36" s="133"/>
      <c r="K36" s="133"/>
      <c r="L36" s="133"/>
      <c r="M36" s="133"/>
      <c r="N36" s="133"/>
      <c r="O36" s="133"/>
      <c r="P36" s="133"/>
      <c r="Q36" s="133"/>
      <c r="R36" s="133"/>
      <c r="S36" s="133"/>
    </row>
    <row r="37" spans="1:22" hidden="1" outlineLevel="1"/>
    <row r="38" spans="1:22" s="541" customFormat="1" hidden="1" outlineLevel="1">
      <c r="A38" s="534" t="s">
        <v>562</v>
      </c>
      <c r="B38" s="527"/>
      <c r="D38" s="550"/>
      <c r="E38" s="550"/>
      <c r="F38" s="550"/>
    </row>
    <row r="39" spans="1:22" s="541" customFormat="1" ht="18" hidden="1" outlineLevel="1">
      <c r="A39" s="545" t="s">
        <v>281</v>
      </c>
      <c r="B39" s="527" t="s">
        <v>262</v>
      </c>
      <c r="D39" s="133">
        <f>(AVERAGE('Zmiany klimatu (GHG) samochody'!$T$49,'Zmiany klimatu (GHG) samochody'!$X$49))</f>
        <v>186.78476378268155</v>
      </c>
      <c r="E39" s="550"/>
      <c r="F39" s="550"/>
    </row>
    <row r="40" spans="1:22" s="544" customFormat="1" hidden="1" outlineLevel="1">
      <c r="A40" s="453" t="s">
        <v>583</v>
      </c>
      <c r="B40" s="527" t="s">
        <v>584</v>
      </c>
      <c r="D40" s="558">
        <f>D39/(10^6)</f>
        <v>1.8678476378268156E-4</v>
      </c>
      <c r="E40" s="550"/>
      <c r="F40" s="550"/>
    </row>
    <row r="41" spans="1:22" s="579" customFormat="1" hidden="1" outlineLevel="1">
      <c r="A41" s="453"/>
      <c r="B41" s="527"/>
      <c r="D41" s="558"/>
      <c r="E41" s="550"/>
      <c r="F41" s="550"/>
    </row>
    <row r="42" spans="1:22" s="541" customFormat="1" hidden="1" outlineLevel="1">
      <c r="A42" s="545" t="s">
        <v>582</v>
      </c>
      <c r="B42" s="562"/>
      <c r="D42" s="561" t="s">
        <v>232</v>
      </c>
      <c r="E42" s="561" t="s">
        <v>589</v>
      </c>
      <c r="F42" s="561" t="s">
        <v>233</v>
      </c>
    </row>
    <row r="43" spans="1:22" hidden="1" outlineLevel="1">
      <c r="B43" s="527" t="s">
        <v>262</v>
      </c>
      <c r="D43" s="550">
        <v>3.2329826078257934E-2</v>
      </c>
      <c r="E43" s="550">
        <v>0.19203875390139574</v>
      </c>
      <c r="F43" s="550">
        <f>0.0237837375508481+0.0147379976591317</f>
        <v>3.8521735209979799E-2</v>
      </c>
      <c r="G43" s="539" t="s">
        <v>597</v>
      </c>
    </row>
    <row r="44" spans="1:22" hidden="1" outlineLevel="1">
      <c r="A44" s="453" t="s">
        <v>583</v>
      </c>
      <c r="B44" s="527" t="s">
        <v>584</v>
      </c>
      <c r="D44" s="550">
        <f>D43/(10^6)</f>
        <v>3.2329826078257933E-8</v>
      </c>
      <c r="E44" s="550">
        <f t="shared" ref="E44:F44" si="4">E43/(10^6)</f>
        <v>1.9203875390139575E-7</v>
      </c>
      <c r="F44" s="550">
        <f t="shared" si="4"/>
        <v>3.8521735209979796E-8</v>
      </c>
    </row>
    <row r="45" spans="1:22" s="544" customFormat="1" hidden="1" outlineLevel="1">
      <c r="A45" s="453"/>
      <c r="B45" s="527"/>
      <c r="D45" s="550"/>
      <c r="E45" s="550"/>
      <c r="F45" s="550"/>
    </row>
    <row r="46" spans="1:22" s="544" customFormat="1" ht="18" hidden="1" outlineLevel="1">
      <c r="A46" s="533" t="s">
        <v>683</v>
      </c>
      <c r="B46" s="527" t="s">
        <v>587</v>
      </c>
      <c r="D46" s="550"/>
      <c r="E46" s="455">
        <f t="shared" ref="E46:S47" si="5">E27</f>
        <v>487.60665354656209</v>
      </c>
      <c r="F46" s="455">
        <f t="shared" si="5"/>
        <v>573.06348973513491</v>
      </c>
      <c r="G46" s="455">
        <f t="shared" si="5"/>
        <v>658.52032592370756</v>
      </c>
      <c r="H46" s="455">
        <f t="shared" si="5"/>
        <v>743.97716211228033</v>
      </c>
      <c r="I46" s="455">
        <f t="shared" si="5"/>
        <v>829.43399830085309</v>
      </c>
      <c r="J46" s="455">
        <f t="shared" si="5"/>
        <v>914.89083448942586</v>
      </c>
      <c r="K46" s="455">
        <f t="shared" si="5"/>
        <v>1000.3476706779985</v>
      </c>
      <c r="L46" s="455">
        <f t="shared" si="5"/>
        <v>1085.8045068665713</v>
      </c>
      <c r="M46" s="455">
        <f t="shared" si="5"/>
        <v>1171.2613430551439</v>
      </c>
      <c r="N46" s="455">
        <f t="shared" si="5"/>
        <v>1256.7181792437168</v>
      </c>
      <c r="O46" s="455">
        <f t="shared" si="5"/>
        <v>1397.4706153190129</v>
      </c>
      <c r="P46" s="455">
        <f t="shared" si="5"/>
        <v>1538.2230513943093</v>
      </c>
      <c r="Q46" s="455">
        <f t="shared" si="5"/>
        <v>1678.9754874696057</v>
      </c>
      <c r="R46" s="455">
        <f t="shared" si="5"/>
        <v>1819.7279235449018</v>
      </c>
      <c r="S46" s="455">
        <f t="shared" si="5"/>
        <v>1960.480359620198</v>
      </c>
      <c r="T46" s="455">
        <f t="shared" ref="T46:V46" si="6">T27</f>
        <v>2096.2059229785195</v>
      </c>
      <c r="U46" s="455">
        <f t="shared" si="6"/>
        <v>2231.9314863368409</v>
      </c>
      <c r="V46" s="455">
        <f t="shared" si="6"/>
        <v>2367.6570496951622</v>
      </c>
    </row>
    <row r="47" spans="1:22" s="178" customFormat="1" hidden="1" outlineLevel="1">
      <c r="A47" s="533" t="s">
        <v>585</v>
      </c>
      <c r="B47" s="538" t="s">
        <v>587</v>
      </c>
      <c r="D47" s="564"/>
      <c r="E47" s="455">
        <f t="shared" si="5"/>
        <v>2775.5780840565394</v>
      </c>
      <c r="F47" s="455">
        <f t="shared" si="5"/>
        <v>2864.3779770402962</v>
      </c>
      <c r="G47" s="455">
        <f t="shared" si="5"/>
        <v>2942.622553397463</v>
      </c>
      <c r="H47" s="455">
        <f t="shared" si="5"/>
        <v>3018.7100927990373</v>
      </c>
      <c r="I47" s="455">
        <f t="shared" si="5"/>
        <v>3099.6333834033967</v>
      </c>
      <c r="J47" s="455">
        <f t="shared" si="5"/>
        <v>3180.7033797718391</v>
      </c>
      <c r="K47" s="455">
        <f t="shared" si="5"/>
        <v>3264.3719755544739</v>
      </c>
      <c r="L47" s="455">
        <f t="shared" si="5"/>
        <v>3348.1097578138606</v>
      </c>
      <c r="M47" s="455">
        <f t="shared" si="5"/>
        <v>3431.7967097857018</v>
      </c>
      <c r="N47" s="455">
        <f t="shared" si="5"/>
        <v>3515.3052143362311</v>
      </c>
      <c r="O47" s="455">
        <f t="shared" si="5"/>
        <v>3601.4027034478368</v>
      </c>
      <c r="P47" s="455">
        <f t="shared" si="5"/>
        <v>3687.2532350242773</v>
      </c>
      <c r="Q47" s="455">
        <f t="shared" si="5"/>
        <v>3775.6587618493991</v>
      </c>
      <c r="R47" s="455">
        <f t="shared" si="5"/>
        <v>3863.6247794016813</v>
      </c>
      <c r="S47" s="455">
        <f t="shared" si="5"/>
        <v>3950.959892988014</v>
      </c>
      <c r="T47" s="455">
        <f t="shared" ref="T47:V47" si="7">T28</f>
        <v>4037.5245721617416</v>
      </c>
      <c r="U47" s="455">
        <f t="shared" si="7"/>
        <v>4123.1278812632536</v>
      </c>
      <c r="V47" s="455">
        <f t="shared" si="7"/>
        <v>4207.5758655603167</v>
      </c>
    </row>
    <row r="48" spans="1:22" s="178" customFormat="1" ht="18" hidden="1" outlineLevel="1">
      <c r="A48" s="555" t="s">
        <v>684</v>
      </c>
      <c r="B48" s="538" t="s">
        <v>587</v>
      </c>
      <c r="D48" s="564"/>
      <c r="E48" s="455">
        <f>E29</f>
        <v>46788.316274095952</v>
      </c>
      <c r="F48" s="455">
        <f t="shared" ref="F48:S48" si="8">F29</f>
        <v>48285.228755822143</v>
      </c>
      <c r="G48" s="455">
        <f t="shared" si="8"/>
        <v>49604.208757271525</v>
      </c>
      <c r="H48" s="455">
        <f t="shared" si="8"/>
        <v>50886.827278612349</v>
      </c>
      <c r="I48" s="455">
        <f t="shared" si="8"/>
        <v>52250.962748800121</v>
      </c>
      <c r="J48" s="455">
        <f t="shared" si="8"/>
        <v>53617.571259011005</v>
      </c>
      <c r="K48" s="455">
        <f t="shared" si="8"/>
        <v>55027.984730775424</v>
      </c>
      <c r="L48" s="455">
        <f t="shared" si="8"/>
        <v>56439.564488862219</v>
      </c>
      <c r="M48" s="455">
        <f t="shared" si="8"/>
        <v>57850.287393530394</v>
      </c>
      <c r="N48" s="455">
        <f t="shared" si="8"/>
        <v>59258.00218452503</v>
      </c>
      <c r="O48" s="455">
        <f t="shared" si="8"/>
        <v>60709.359858120675</v>
      </c>
      <c r="P48" s="455">
        <f t="shared" si="8"/>
        <v>62156.55453326639</v>
      </c>
      <c r="Q48" s="455">
        <f t="shared" si="8"/>
        <v>63646.819128318442</v>
      </c>
      <c r="R48" s="455">
        <f t="shared" si="8"/>
        <v>65129.674852771204</v>
      </c>
      <c r="S48" s="455">
        <f t="shared" si="8"/>
        <v>66601.895338940813</v>
      </c>
      <c r="T48" s="455">
        <f t="shared" ref="T48:V48" si="9">T29</f>
        <v>68061.128502155072</v>
      </c>
      <c r="U48" s="455">
        <f t="shared" si="9"/>
        <v>69504.155712723412</v>
      </c>
      <c r="V48" s="455">
        <f t="shared" si="9"/>
        <v>70927.707448016765</v>
      </c>
    </row>
    <row r="49" spans="1:22" s="178" customFormat="1" hidden="1" outlineLevel="1">
      <c r="A49" s="555" t="s">
        <v>586</v>
      </c>
      <c r="B49" s="538" t="s">
        <v>587</v>
      </c>
      <c r="D49" s="564"/>
      <c r="E49" s="455">
        <f>E30</f>
        <v>304124.05578162376</v>
      </c>
      <c r="F49" s="455">
        <f t="shared" ref="F49:S49" si="10">F30</f>
        <v>313853.98691284395</v>
      </c>
      <c r="G49" s="455">
        <f t="shared" si="10"/>
        <v>322427.35692226497</v>
      </c>
      <c r="H49" s="455">
        <f t="shared" si="10"/>
        <v>330764.37731098029</v>
      </c>
      <c r="I49" s="455">
        <f t="shared" si="10"/>
        <v>339631.25786720088</v>
      </c>
      <c r="J49" s="455">
        <f t="shared" si="10"/>
        <v>348514.21318357158</v>
      </c>
      <c r="K49" s="455">
        <f t="shared" si="10"/>
        <v>357681.90075004025</v>
      </c>
      <c r="L49" s="455">
        <f t="shared" si="10"/>
        <v>366857.16917760449</v>
      </c>
      <c r="M49" s="455">
        <f t="shared" si="10"/>
        <v>376026.86805794766</v>
      </c>
      <c r="N49" s="455">
        <f t="shared" si="10"/>
        <v>385177.01419941284</v>
      </c>
      <c r="O49" s="455">
        <f t="shared" si="10"/>
        <v>394610.83907778445</v>
      </c>
      <c r="P49" s="455">
        <f t="shared" si="10"/>
        <v>404017.6044662316</v>
      </c>
      <c r="Q49" s="455">
        <f t="shared" si="10"/>
        <v>413704.32433406997</v>
      </c>
      <c r="R49" s="455">
        <f t="shared" si="10"/>
        <v>423342.88654301292</v>
      </c>
      <c r="S49" s="455">
        <f t="shared" si="10"/>
        <v>432912.31970311538</v>
      </c>
      <c r="T49" s="455">
        <f t="shared" ref="T49:V49" si="11">T30</f>
        <v>442397.33526400814</v>
      </c>
      <c r="U49" s="455">
        <f t="shared" si="11"/>
        <v>451777.01213270234</v>
      </c>
      <c r="V49" s="455">
        <f t="shared" si="11"/>
        <v>461030.09841210913</v>
      </c>
    </row>
    <row r="50" spans="1:22" s="544" customFormat="1" hidden="1" outlineLevel="1">
      <c r="A50" s="453"/>
      <c r="B50" s="527"/>
      <c r="C50" s="608" t="s">
        <v>689</v>
      </c>
      <c r="D50" s="550"/>
      <c r="E50" s="550"/>
      <c r="F50" s="550"/>
    </row>
    <row r="51" spans="1:22" s="544" customFormat="1" ht="18" hidden="1" outlineLevel="1">
      <c r="A51" s="608" t="s">
        <v>685</v>
      </c>
      <c r="B51" s="527" t="s">
        <v>591</v>
      </c>
      <c r="C51" s="551">
        <f>SUM(E51:S51)</f>
        <v>6003.8320015049212</v>
      </c>
      <c r="D51" s="550"/>
      <c r="E51" s="133">
        <f>$D$40*Założenia!E$97</f>
        <v>400.2554667669948</v>
      </c>
      <c r="F51" s="133">
        <f>$D$40*Założenia!F$97</f>
        <v>400.2554667669948</v>
      </c>
      <c r="G51" s="133">
        <f>$D$40*Założenia!G$97</f>
        <v>400.2554667669948</v>
      </c>
      <c r="H51" s="133">
        <f>$D$40*Założenia!H$97</f>
        <v>400.2554667669948</v>
      </c>
      <c r="I51" s="133">
        <f>$D$40*Założenia!I$97</f>
        <v>400.2554667669948</v>
      </c>
      <c r="J51" s="133">
        <f>$D$40*Założenia!J$97</f>
        <v>400.2554667669948</v>
      </c>
      <c r="K51" s="133">
        <f>$D$40*Założenia!K$97</f>
        <v>400.2554667669948</v>
      </c>
      <c r="L51" s="133">
        <f>$D$40*Założenia!L$97</f>
        <v>400.2554667669948</v>
      </c>
      <c r="M51" s="133">
        <f>$D$40*Założenia!M$97</f>
        <v>400.2554667669948</v>
      </c>
      <c r="N51" s="133">
        <f>$D$40*Założenia!N$97</f>
        <v>400.2554667669948</v>
      </c>
      <c r="O51" s="133">
        <f>$D$40*Założenia!O$97</f>
        <v>400.2554667669948</v>
      </c>
      <c r="P51" s="133">
        <f>$D$40*Założenia!P$97</f>
        <v>400.2554667669948</v>
      </c>
      <c r="Q51" s="133">
        <f>$D$40*Założenia!Q$97</f>
        <v>400.2554667669948</v>
      </c>
      <c r="R51" s="133">
        <f>$D$40*Założenia!R$97</f>
        <v>400.2554667669948</v>
      </c>
      <c r="S51" s="133">
        <f>$D$40*Założenia!S$97</f>
        <v>400.2554667669948</v>
      </c>
      <c r="T51" s="133">
        <f>$D$40*Założenia!T$97</f>
        <v>0</v>
      </c>
      <c r="U51" s="133">
        <f>$D$40*Założenia!U$97</f>
        <v>0</v>
      </c>
      <c r="V51" s="133">
        <f>$D$40*Założenia!V$97</f>
        <v>0</v>
      </c>
    </row>
    <row r="52" spans="1:22" s="544" customFormat="1" ht="18" hidden="1" outlineLevel="1">
      <c r="A52" s="1" t="s">
        <v>686</v>
      </c>
      <c r="B52" s="527" t="s">
        <v>590</v>
      </c>
      <c r="C52" s="551">
        <f>SUM(E52:S52)</f>
        <v>6850973.3378461134</v>
      </c>
      <c r="D52" s="550"/>
      <c r="E52" s="133">
        <f>E$51*E$46</f>
        <v>195167.22871397153</v>
      </c>
      <c r="F52" s="133">
        <f t="shared" ref="F52:V52" si="12">F$51*F$46</f>
        <v>229371.79457105935</v>
      </c>
      <c r="G52" s="133">
        <f t="shared" si="12"/>
        <v>263576.36042814713</v>
      </c>
      <c r="H52" s="133">
        <f t="shared" si="12"/>
        <v>297780.92628523492</v>
      </c>
      <c r="I52" s="133">
        <f t="shared" si="12"/>
        <v>331985.49214232271</v>
      </c>
      <c r="J52" s="133">
        <f t="shared" si="12"/>
        <v>366190.05799941055</v>
      </c>
      <c r="K52" s="133">
        <f t="shared" si="12"/>
        <v>400394.62385649828</v>
      </c>
      <c r="L52" s="133">
        <f t="shared" si="12"/>
        <v>434599.18971358612</v>
      </c>
      <c r="M52" s="133">
        <f t="shared" si="12"/>
        <v>468803.75557067385</v>
      </c>
      <c r="N52" s="133">
        <f t="shared" si="12"/>
        <v>503008.32142776169</v>
      </c>
      <c r="O52" s="133">
        <f t="shared" si="12"/>
        <v>559345.25342767092</v>
      </c>
      <c r="P52" s="133">
        <f t="shared" si="12"/>
        <v>615682.18542758026</v>
      </c>
      <c r="Q52" s="133">
        <f t="shared" si="12"/>
        <v>672019.1174274896</v>
      </c>
      <c r="R52" s="133">
        <f t="shared" si="12"/>
        <v>728356.04942739895</v>
      </c>
      <c r="S52" s="133">
        <f t="shared" si="12"/>
        <v>784692.98142730817</v>
      </c>
      <c r="T52" s="133">
        <f t="shared" si="12"/>
        <v>0</v>
      </c>
      <c r="U52" s="133">
        <f t="shared" si="12"/>
        <v>0</v>
      </c>
      <c r="V52" s="133">
        <f t="shared" si="12"/>
        <v>0</v>
      </c>
    </row>
    <row r="53" spans="1:22" s="544" customFormat="1" hidden="1" outlineLevel="1">
      <c r="A53" s="1" t="s">
        <v>592</v>
      </c>
      <c r="B53" s="527" t="s">
        <v>590</v>
      </c>
      <c r="C53" s="551">
        <f>SUM(E53:S53)</f>
        <v>807689.61089961883</v>
      </c>
      <c r="D53" s="550"/>
      <c r="E53" s="133">
        <f>($D$44*Założenia!E$97*E47)+($E$44*Założenia!E$97*E48)+($F$44*Założenia!E$97*E49)</f>
        <v>44550.889287197882</v>
      </c>
      <c r="F53" s="133">
        <f>($D$44*Założenia!F$97*F47)+($E$44*Założenia!F$97*F48)+($F$44*Założenia!F$97*F49)</f>
        <v>45976.219103627489</v>
      </c>
      <c r="G53" s="133">
        <f>($D$44*Założenia!G$97*G47)+($E$44*Założenia!G$97*G48)+($F$44*Założenia!G$97*G49)</f>
        <v>47232.125207885678</v>
      </c>
      <c r="H53" s="133">
        <f>($D$44*Założenia!H$97*H47)+($E$44*Założenia!H$97*H48)+($F$44*Założenia!H$97*H49)</f>
        <v>48453.408645554511</v>
      </c>
      <c r="I53" s="133">
        <f>($D$44*Założenia!I$97*I47)+($E$44*Założenia!I$97*I48)+($F$44*Założenia!I$97*I49)</f>
        <v>49752.310874671952</v>
      </c>
      <c r="J53" s="133">
        <f>($D$44*Założenia!J$97*J47)+($E$44*Założenia!J$97*J48)+($F$44*Założenia!J$97*J49)</f>
        <v>51053.567882525756</v>
      </c>
      <c r="K53" s="133">
        <f>($D$44*Założenia!K$97*K47)+($E$44*Założenia!K$97*K48)+($F$44*Założenia!K$97*K49)</f>
        <v>52396.535089587596</v>
      </c>
      <c r="L53" s="133">
        <f>($D$44*Założenia!L$97*L47)+($E$44*Założenia!L$97*L48)+($F$44*Założenia!L$97*L49)</f>
        <v>53740.612810918028</v>
      </c>
      <c r="M53" s="133">
        <f>($D$44*Założenia!M$97*M47)+($E$44*Założenia!M$97*M48)+($F$44*Założenia!M$97*M49)</f>
        <v>55083.874653738014</v>
      </c>
      <c r="N53" s="133">
        <f>($D$44*Założenia!N$97*N47)+($E$44*Założenia!N$97*N48)+($F$44*Założenia!N$97*N49)</f>
        <v>56424.272231504132</v>
      </c>
      <c r="O53" s="133">
        <f>($D$44*Założenia!O$97*O47)+($E$44*Założenia!O$97*O48)+($F$44*Założenia!O$97*O49)</f>
        <v>57806.225680174874</v>
      </c>
      <c r="P53" s="133">
        <f>($D$44*Założenia!P$97*P47)+($E$44*Założenia!P$97*P48)+($F$44*Założenia!P$97*P49)</f>
        <v>59184.21520584487</v>
      </c>
      <c r="Q53" s="133">
        <f>($D$44*Założenia!Q$97*Q47)+($E$44*Założenia!Q$97*Q48)+($F$44*Założenia!Q$97*Q49)</f>
        <v>60603.215038919698</v>
      </c>
      <c r="R53" s="133">
        <f>($D$44*Założenia!R$97*R47)+($E$44*Założenia!R$97*R48)+($F$44*Założenia!R$97*R49)</f>
        <v>62015.160295123715</v>
      </c>
      <c r="S53" s="133">
        <f>($D$44*Założenia!S$97*S47)+($E$44*Założenia!S$97*S48)+($F$44*Założenia!S$97*S49)</f>
        <v>63416.978892344734</v>
      </c>
      <c r="T53" s="133">
        <f>($D$44*Założenia!T$97*T47)+($E$44*Założenia!T$97*T48)+($F$44*Założenia!T$97*T49)</f>
        <v>0</v>
      </c>
      <c r="U53" s="133">
        <f>($D$44*Założenia!U$97*U47)+($E$44*Założenia!U$97*U48)+($F$44*Założenia!U$97*U49)</f>
        <v>0</v>
      </c>
      <c r="V53" s="133">
        <f>($D$44*Założenia!V$97*V47)+($E$44*Założenia!V$97*V48)+($F$44*Założenia!V$97*V49)</f>
        <v>0</v>
      </c>
    </row>
    <row r="54" spans="1:22" hidden="1" outlineLevel="1">
      <c r="A54" s="1" t="s">
        <v>595</v>
      </c>
      <c r="B54" s="527" t="s">
        <v>590</v>
      </c>
      <c r="C54" s="559">
        <f>SUM(E54:S54)</f>
        <v>5819468.2697421284</v>
      </c>
      <c r="E54" s="609">
        <f>(E52+E53)*Założenia!E11</f>
        <v>232736.03689433922</v>
      </c>
      <c r="F54" s="609">
        <f>(F52+F53)*Założenia!F11</f>
        <v>259541.91127786486</v>
      </c>
      <c r="G54" s="609">
        <f>(G52+G53)*Założenia!G11</f>
        <v>284433.79328600178</v>
      </c>
      <c r="H54" s="609">
        <f>(H52+H53)*Założenia!H11</f>
        <v>307624.72212970903</v>
      </c>
      <c r="I54" s="609">
        <f>(I52+I53)*Założenia!I11</f>
        <v>329290.38221397129</v>
      </c>
      <c r="J54" s="609">
        <f>(J52+J53)*Założenia!J11</f>
        <v>349434.96787772619</v>
      </c>
      <c r="K54" s="609">
        <f>(K52+K53)*Założenia!K11</f>
        <v>368160.64775038173</v>
      </c>
      <c r="L54" s="609">
        <f>(L52+L53)*Założenia!L11</f>
        <v>385499.94959588739</v>
      </c>
      <c r="M54" s="609">
        <f>(M52+M53)*Założenia!M11</f>
        <v>401516.24567184004</v>
      </c>
      <c r="N54" s="609">
        <f>(N52+N53)*Założenia!N11</f>
        <v>416270.38873675192</v>
      </c>
      <c r="O54" s="609">
        <f>(O52+O53)*Założenia!O11</f>
        <v>445843.35939190438</v>
      </c>
      <c r="P54" s="609">
        <f>(P52+P53)*Założenia!P11</f>
        <v>473337.71522253478</v>
      </c>
      <c r="Q54" s="609">
        <f>(Q52+Q53)*Założenia!Q11</f>
        <v>498880.15900192893</v>
      </c>
      <c r="R54" s="609">
        <f>(R52+R53)*Założenia!R11</f>
        <v>522528.47995396191</v>
      </c>
      <c r="S54" s="609">
        <f>(S52+S53)*Założenia!S11</f>
        <v>544369.5107373253</v>
      </c>
      <c r="T54" s="609">
        <f>(T52+T53)*Założenia!T11</f>
        <v>0</v>
      </c>
      <c r="U54" s="609">
        <f>(U52+U53)*Założenia!U11</f>
        <v>0</v>
      </c>
      <c r="V54" s="609">
        <f>(V52+V53)*Założenia!V11</f>
        <v>0</v>
      </c>
    </row>
    <row r="55" spans="1:22" collapsed="1">
      <c r="C55" s="560"/>
    </row>
    <row r="56" spans="1:22"/>
    <row r="57" spans="1:22">
      <c r="A57" s="131" t="s">
        <v>560</v>
      </c>
    </row>
    <row r="58" spans="1:22" hidden="1" outlineLevel="1">
      <c r="A58" s="1" t="s">
        <v>593</v>
      </c>
    </row>
    <row r="59" spans="1:22" ht="18" hidden="1" outlineLevel="1">
      <c r="A59" s="545" t="s">
        <v>281</v>
      </c>
    </row>
    <row r="60" spans="1:22" s="579" customFormat="1" hidden="1" outlineLevel="1">
      <c r="A60" s="588" t="s">
        <v>624</v>
      </c>
      <c r="B60" s="527" t="s">
        <v>588</v>
      </c>
      <c r="D60" s="428">
        <f>IF(Założenia!$D$18=Wstęp!$A$14,'Emisje WI trasa istniejąca'!$B$44,0)</f>
        <v>0</v>
      </c>
    </row>
    <row r="61" spans="1:22" s="579" customFormat="1" hidden="1" outlineLevel="1">
      <c r="A61" s="588" t="s">
        <v>623</v>
      </c>
      <c r="B61" s="527" t="s">
        <v>588</v>
      </c>
      <c r="D61" s="428">
        <f>IF(Założenia!$E$18=Wstęp!$A$14,'Emisje WI trasa istniejąca'!$B$63,0)</f>
        <v>0</v>
      </c>
    </row>
    <row r="62" spans="1:22" s="579" customFormat="1" hidden="1" outlineLevel="1">
      <c r="A62" s="588" t="s">
        <v>625</v>
      </c>
      <c r="B62" s="527" t="s">
        <v>588</v>
      </c>
      <c r="D62" s="428">
        <f>IF(Założenia!$F$18=Wstęp!$A$14,'Emisje WI trasa istniejąca'!$B$82,0)</f>
        <v>0</v>
      </c>
    </row>
    <row r="63" spans="1:22" hidden="1" outlineLevel="1">
      <c r="A63" s="546" t="s">
        <v>568</v>
      </c>
      <c r="B63" s="527" t="s">
        <v>588</v>
      </c>
      <c r="D63" s="581">
        <f>IF(Założenia!$D$20=Wstęp!$A$14,'Emisje WI trasa istniejąca'!$B$102,0)</f>
        <v>1.1399999999999999</v>
      </c>
      <c r="E63" s="557"/>
    </row>
    <row r="64" spans="1:22" hidden="1" outlineLevel="1">
      <c r="A64" s="546" t="s">
        <v>569</v>
      </c>
      <c r="B64" s="527" t="s">
        <v>588</v>
      </c>
      <c r="D64" s="581">
        <f>IF(Założenia!$E$20=Wstęp!$A$14,'Emisje WI trasa istniejąca'!$B$122,0)</f>
        <v>0</v>
      </c>
    </row>
    <row r="65" spans="1:5" hidden="1" outlineLevel="1">
      <c r="A65" s="546" t="s">
        <v>570</v>
      </c>
      <c r="B65" s="527" t="s">
        <v>588</v>
      </c>
      <c r="D65" s="581">
        <f>IF(Założenia!$F$20=Wstęp!$A$14,'Emisje WI trasa istniejąca'!$B$142,0)</f>
        <v>0</v>
      </c>
    </row>
    <row r="66" spans="1:5" s="579" customFormat="1" hidden="1" outlineLevel="1">
      <c r="A66" s="546" t="s">
        <v>611</v>
      </c>
      <c r="B66" s="527" t="s">
        <v>588</v>
      </c>
      <c r="D66" s="581">
        <f>IF(Założenia!$D$22=Wstęp!$A$14,'Emisje WI trasa istniejąca'!$B$160,0)</f>
        <v>0</v>
      </c>
    </row>
    <row r="67" spans="1:5" s="579" customFormat="1" hidden="1" outlineLevel="1">
      <c r="A67" s="546" t="s">
        <v>612</v>
      </c>
      <c r="B67" s="527" t="s">
        <v>588</v>
      </c>
      <c r="D67" s="581">
        <f>IF(Założenia!$E$22=Wstęp!$A$14,'Emisje WI trasa istniejąca'!$B$178,0)</f>
        <v>0</v>
      </c>
    </row>
    <row r="68" spans="1:5" s="579" customFormat="1" hidden="1" outlineLevel="1">
      <c r="A68" s="546" t="s">
        <v>613</v>
      </c>
      <c r="B68" s="527" t="s">
        <v>588</v>
      </c>
      <c r="D68" s="581">
        <f>IF(Założenia!$F$22=Wstęp!$A$14,'Emisje WI trasa istniejąca'!$B$196,0)</f>
        <v>0</v>
      </c>
    </row>
    <row r="69" spans="1:5" hidden="1" outlineLevel="1">
      <c r="A69" s="546" t="s">
        <v>574</v>
      </c>
      <c r="B69" s="527" t="s">
        <v>588</v>
      </c>
      <c r="D69" s="581">
        <f>IF(Założenia!$D$24=Wstęp!$A$14,'Emisje WI trasa istniejąca'!$B$208,0)</f>
        <v>0.79548245885176183</v>
      </c>
      <c r="E69" s="557"/>
    </row>
    <row r="70" spans="1:5" hidden="1" outlineLevel="1">
      <c r="A70" s="546" t="s">
        <v>575</v>
      </c>
      <c r="B70" s="527" t="s">
        <v>588</v>
      </c>
      <c r="D70" s="581">
        <f>IF(Założenia!$E$24=Wstęp!$A$14,'Emisje WI trasa istniejąca'!$B$223,0)</f>
        <v>0.86177266375607531</v>
      </c>
    </row>
    <row r="71" spans="1:5" hidden="1" outlineLevel="1">
      <c r="A71" s="546" t="s">
        <v>576</v>
      </c>
      <c r="B71" s="527" t="s">
        <v>588</v>
      </c>
      <c r="D71" s="581">
        <f>IF(Założenia!$F$24=Wstęp!$A$14,'Emisje WI trasa istniejąca'!$B$238,0)</f>
        <v>0</v>
      </c>
    </row>
    <row r="72" spans="1:5" s="579" customFormat="1" hidden="1" outlineLevel="1">
      <c r="A72" s="546" t="s">
        <v>620</v>
      </c>
      <c r="B72" s="527" t="s">
        <v>588</v>
      </c>
      <c r="D72" s="581">
        <f>IF(Założenia!$D$26=Wstęp!$A$14,'Emisje WI trasa istniejąca'!B276,0)</f>
        <v>0</v>
      </c>
    </row>
    <row r="73" spans="1:5" s="579" customFormat="1" hidden="1" outlineLevel="1">
      <c r="A73" s="546" t="s">
        <v>621</v>
      </c>
      <c r="B73" s="527" t="s">
        <v>588</v>
      </c>
      <c r="D73" s="581">
        <f>IF(Założenia!$E$26=Wstęp!$A$14,'Emisje WI trasa istniejąca'!B311,0)</f>
        <v>0</v>
      </c>
    </row>
    <row r="74" spans="1:5" s="579" customFormat="1" hidden="1" outlineLevel="1">
      <c r="A74" s="546" t="s">
        <v>622</v>
      </c>
      <c r="B74" s="527" t="s">
        <v>588</v>
      </c>
      <c r="D74" s="581">
        <f>IF(Założenia!$F$26=Wstęp!$A$14,'Emisje WI trasa istniejąca'!B346,0)</f>
        <v>0</v>
      </c>
    </row>
    <row r="75" spans="1:5" hidden="1" outlineLevel="1">
      <c r="A75" s="453" t="s">
        <v>581</v>
      </c>
    </row>
    <row r="76" spans="1:5" s="579" customFormat="1" hidden="1" outlineLevel="1">
      <c r="A76" s="588" t="s">
        <v>624</v>
      </c>
      <c r="B76" s="527" t="s">
        <v>584</v>
      </c>
      <c r="D76" s="558">
        <f t="shared" ref="D76:D78" si="13">D60/(10^3)</f>
        <v>0</v>
      </c>
    </row>
    <row r="77" spans="1:5" s="579" customFormat="1" hidden="1" outlineLevel="1">
      <c r="A77" s="588" t="s">
        <v>623</v>
      </c>
      <c r="B77" s="527" t="s">
        <v>584</v>
      </c>
      <c r="D77" s="558">
        <f t="shared" si="13"/>
        <v>0</v>
      </c>
    </row>
    <row r="78" spans="1:5" s="579" customFormat="1" hidden="1" outlineLevel="1">
      <c r="A78" s="588" t="s">
        <v>625</v>
      </c>
      <c r="B78" s="527" t="s">
        <v>584</v>
      </c>
      <c r="D78" s="558">
        <f t="shared" si="13"/>
        <v>0</v>
      </c>
    </row>
    <row r="79" spans="1:5" hidden="1" outlineLevel="1">
      <c r="A79" s="546" t="s">
        <v>568</v>
      </c>
      <c r="B79" s="527" t="s">
        <v>584</v>
      </c>
      <c r="D79" s="558">
        <f>D63/(10^3)</f>
        <v>1.14E-3</v>
      </c>
    </row>
    <row r="80" spans="1:5" hidden="1" outlineLevel="1">
      <c r="A80" s="546" t="s">
        <v>569</v>
      </c>
      <c r="B80" s="527" t="s">
        <v>584</v>
      </c>
      <c r="D80" s="558">
        <f>D64/(10^3)</f>
        <v>0</v>
      </c>
    </row>
    <row r="81" spans="1:7" hidden="1" outlineLevel="1">
      <c r="A81" s="546" t="s">
        <v>570</v>
      </c>
      <c r="B81" s="527" t="s">
        <v>584</v>
      </c>
      <c r="D81" s="558">
        <f>D65/(10^3)</f>
        <v>0</v>
      </c>
    </row>
    <row r="82" spans="1:7" s="579" customFormat="1" hidden="1" outlineLevel="1">
      <c r="A82" s="546" t="s">
        <v>611</v>
      </c>
      <c r="B82" s="527" t="s">
        <v>584</v>
      </c>
      <c r="D82" s="558">
        <f t="shared" ref="D82:D90" si="14">D66/(10^3)</f>
        <v>0</v>
      </c>
    </row>
    <row r="83" spans="1:7" s="579" customFormat="1" hidden="1" outlineLevel="1">
      <c r="A83" s="546" t="s">
        <v>612</v>
      </c>
      <c r="B83" s="527" t="s">
        <v>584</v>
      </c>
      <c r="D83" s="558">
        <f t="shared" si="14"/>
        <v>0</v>
      </c>
    </row>
    <row r="84" spans="1:7" s="579" customFormat="1" hidden="1" outlineLevel="1">
      <c r="A84" s="546" t="s">
        <v>613</v>
      </c>
      <c r="B84" s="527" t="s">
        <v>584</v>
      </c>
      <c r="D84" s="558">
        <f t="shared" si="14"/>
        <v>0</v>
      </c>
    </row>
    <row r="85" spans="1:7" hidden="1" outlineLevel="1">
      <c r="A85" s="546" t="s">
        <v>574</v>
      </c>
      <c r="B85" s="527" t="s">
        <v>584</v>
      </c>
      <c r="D85" s="558">
        <f t="shared" si="14"/>
        <v>7.9548245885176184E-4</v>
      </c>
    </row>
    <row r="86" spans="1:7" hidden="1" outlineLevel="1">
      <c r="A86" s="546" t="s">
        <v>575</v>
      </c>
      <c r="B86" s="527" t="s">
        <v>584</v>
      </c>
      <c r="D86" s="558">
        <f t="shared" si="14"/>
        <v>8.6177266375607529E-4</v>
      </c>
    </row>
    <row r="87" spans="1:7" hidden="1" outlineLevel="1">
      <c r="A87" s="546" t="s">
        <v>576</v>
      </c>
      <c r="B87" s="527" t="s">
        <v>584</v>
      </c>
      <c r="D87" s="558">
        <f t="shared" si="14"/>
        <v>0</v>
      </c>
    </row>
    <row r="88" spans="1:7" s="579" customFormat="1" hidden="1" outlineLevel="1">
      <c r="A88" s="546" t="s">
        <v>620</v>
      </c>
      <c r="B88" s="527" t="s">
        <v>584</v>
      </c>
      <c r="D88" s="558">
        <f t="shared" si="14"/>
        <v>0</v>
      </c>
    </row>
    <row r="89" spans="1:7" s="579" customFormat="1" hidden="1" outlineLevel="1">
      <c r="A89" s="546" t="s">
        <v>621</v>
      </c>
      <c r="B89" s="527" t="s">
        <v>584</v>
      </c>
      <c r="D89" s="558">
        <f t="shared" si="14"/>
        <v>0</v>
      </c>
    </row>
    <row r="90" spans="1:7" s="579" customFormat="1" hidden="1" outlineLevel="1">
      <c r="A90" s="546" t="s">
        <v>622</v>
      </c>
      <c r="B90" s="527" t="s">
        <v>584</v>
      </c>
      <c r="D90" s="558">
        <f t="shared" si="14"/>
        <v>0</v>
      </c>
    </row>
    <row r="91" spans="1:7" s="579" customFormat="1" hidden="1" outlineLevel="1">
      <c r="A91" s="546"/>
      <c r="B91" s="527"/>
    </row>
    <row r="92" spans="1:7" ht="18" hidden="1" outlineLevel="1">
      <c r="A92" s="545" t="s">
        <v>582</v>
      </c>
      <c r="D92" s="1" t="s">
        <v>282</v>
      </c>
      <c r="E92" s="189" t="s">
        <v>232</v>
      </c>
      <c r="F92" s="189" t="s">
        <v>682</v>
      </c>
      <c r="G92" s="189" t="s">
        <v>233</v>
      </c>
    </row>
    <row r="93" spans="1:7" s="579" customFormat="1" hidden="1" outlineLevel="1">
      <c r="A93" s="588" t="s">
        <v>624</v>
      </c>
      <c r="B93" s="527" t="s">
        <v>262</v>
      </c>
      <c r="D93" s="596" t="s">
        <v>648</v>
      </c>
      <c r="E93" s="596">
        <f>IF(Założenia!$D$18=Wstęp!$A$14,'Emisje WI trasa istniejąca'!F$37,0)</f>
        <v>0</v>
      </c>
      <c r="F93" s="596">
        <f>IF(Założenia!$D$18=Wstęp!$A$14,'Emisje WI trasa istniejąca'!G$37,0)</f>
        <v>0</v>
      </c>
      <c r="G93" s="596">
        <f>IF(Założenia!$D$18=Wstęp!$A$14,'Emisje WI trasa istniejąca'!H$37,0)</f>
        <v>0</v>
      </c>
    </row>
    <row r="94" spans="1:7" s="579" customFormat="1" hidden="1" outlineLevel="1">
      <c r="A94" s="588" t="s">
        <v>623</v>
      </c>
      <c r="B94" s="527" t="s">
        <v>262</v>
      </c>
      <c r="D94" s="596" t="s">
        <v>648</v>
      </c>
      <c r="E94" s="596">
        <f>IF(Założenia!$E$18=Wstęp!$A$14,'Emisje WI trasa istniejąca'!F$56,0)</f>
        <v>0</v>
      </c>
      <c r="F94" s="596">
        <f>IF(Założenia!$E$18=Wstęp!$A$14,'Emisje WI trasa istniejąca'!G$56,0)</f>
        <v>0</v>
      </c>
      <c r="G94" s="596">
        <f>IF(Założenia!$E$18=Wstęp!$A$14,'Emisje WI trasa istniejąca'!H$56,0)</f>
        <v>0</v>
      </c>
    </row>
    <row r="95" spans="1:7" s="579" customFormat="1" hidden="1" outlineLevel="1">
      <c r="A95" s="588" t="s">
        <v>625</v>
      </c>
      <c r="B95" s="527" t="s">
        <v>262</v>
      </c>
      <c r="D95" s="596" t="s">
        <v>648</v>
      </c>
      <c r="E95" s="596">
        <f>IF(Założenia!$F$18=Wstęp!$A$14,'Emisje WI trasa istniejąca'!F$75,0)</f>
        <v>0</v>
      </c>
      <c r="F95" s="596">
        <f>IF(Założenia!$F$18=Wstęp!$A$14,'Emisje WI trasa istniejąca'!G$75,0)</f>
        <v>0</v>
      </c>
      <c r="G95" s="596">
        <f>IF(Założenia!$F$18=Wstęp!$A$14,'Emisje WI trasa istniejąca'!H$75,0)</f>
        <v>0</v>
      </c>
    </row>
    <row r="96" spans="1:7" hidden="1" outlineLevel="1">
      <c r="A96" s="546" t="s">
        <v>568</v>
      </c>
      <c r="B96" s="527" t="s">
        <v>262</v>
      </c>
      <c r="D96" s="596" t="s">
        <v>648</v>
      </c>
      <c r="E96" s="581">
        <f>IF(Założenia!$D$20=Wstęp!$A$14,'Emisje WI trasa istniejąca'!F$94,0)</f>
        <v>0.71500000000000019</v>
      </c>
      <c r="F96" s="581">
        <f>IF(Założenia!$D$20=Wstęp!$A$14,'Emisje WI trasa istniejąca'!G$94,0)</f>
        <v>2.2000000000000006</v>
      </c>
      <c r="G96" s="581">
        <f>IF(Założenia!$D$20=Wstęp!$A$14,'Emisje WI trasa istniejąca'!H$94,0)</f>
        <v>5.5000000000000007E-2</v>
      </c>
    </row>
    <row r="97" spans="1:7" hidden="1" outlineLevel="1">
      <c r="A97" s="546" t="s">
        <v>569</v>
      </c>
      <c r="B97" s="527" t="s">
        <v>262</v>
      </c>
      <c r="D97" s="596" t="s">
        <v>648</v>
      </c>
      <c r="E97" s="581">
        <f>IF(Założenia!$E$20=Wstęp!$A$14,'Emisje WI trasa istniejąca'!F$114,0)</f>
        <v>0</v>
      </c>
      <c r="F97" s="581">
        <f>IF(Założenia!$E$20=Wstęp!$A$14,'Emisje WI trasa istniejąca'!G$114,0)</f>
        <v>0</v>
      </c>
      <c r="G97" s="581">
        <f>IF(Założenia!$E$20=Wstęp!$A$14,'Emisje WI trasa istniejąca'!H$114,0)</f>
        <v>0</v>
      </c>
    </row>
    <row r="98" spans="1:7" hidden="1" outlineLevel="1">
      <c r="A98" s="546" t="s">
        <v>570</v>
      </c>
      <c r="B98" s="527" t="s">
        <v>262</v>
      </c>
      <c r="D98" s="596" t="s">
        <v>648</v>
      </c>
      <c r="E98" s="581">
        <f>IF(Założenia!$F$20=Wstęp!$A$14,'Emisje WI trasa istniejąca'!F$134,0)</f>
        <v>0</v>
      </c>
      <c r="F98" s="581">
        <f>IF(Założenia!$F$20=Wstęp!$A$14,'Emisje WI trasa istniejąca'!G$134,0)</f>
        <v>0</v>
      </c>
      <c r="G98" s="581">
        <f>IF(Założenia!$F$20=Wstęp!$A$14,'Emisje WI trasa istniejąca'!H$134,0)</f>
        <v>0</v>
      </c>
    </row>
    <row r="99" spans="1:7" s="579" customFormat="1" hidden="1" outlineLevel="1">
      <c r="A99" s="546" t="s">
        <v>611</v>
      </c>
      <c r="B99" s="527" t="s">
        <v>262</v>
      </c>
      <c r="D99" s="596" t="s">
        <v>648</v>
      </c>
      <c r="E99" s="581">
        <f>IF(Założenia!$D$22=Wstęp!$A$14,'Emisje WI trasa istniejąca'!F$154,0)</f>
        <v>0</v>
      </c>
      <c r="F99" s="581">
        <f>IF(Założenia!$D$22=Wstęp!$A$14,'Emisje WI trasa istniejąca'!G$154,0)</f>
        <v>0</v>
      </c>
      <c r="G99" s="581">
        <f>IF(Założenia!$D$22=Wstęp!$A$14,'Emisje WI trasa istniejąca'!H$154,0)</f>
        <v>0</v>
      </c>
    </row>
    <row r="100" spans="1:7" s="579" customFormat="1" hidden="1" outlineLevel="1">
      <c r="A100" s="546" t="s">
        <v>612</v>
      </c>
      <c r="B100" s="527" t="s">
        <v>262</v>
      </c>
      <c r="D100" s="596" t="s">
        <v>648</v>
      </c>
      <c r="E100" s="581">
        <f>IF(Założenia!$E$22=Wstęp!$A$14,'Emisje WI trasa istniejąca'!F$172,0)</f>
        <v>0</v>
      </c>
      <c r="F100" s="581">
        <f>IF(Założenia!$E$22=Wstęp!$A$14,'Emisje WI trasa istniejąca'!G$172,0)</f>
        <v>0</v>
      </c>
      <c r="G100" s="581">
        <f>IF(Założenia!$E$22=Wstęp!$A$14,'Emisje WI trasa istniejąca'!H$172,0)</f>
        <v>0</v>
      </c>
    </row>
    <row r="101" spans="1:7" s="579" customFormat="1" hidden="1" outlineLevel="1">
      <c r="A101" s="546" t="s">
        <v>613</v>
      </c>
      <c r="B101" s="527" t="s">
        <v>262</v>
      </c>
      <c r="D101" s="596" t="s">
        <v>648</v>
      </c>
      <c r="E101" s="581">
        <f>IF(Założenia!$F$22=Wstęp!$A$14,'Emisje WI trasa istniejąca'!F$190,0)</f>
        <v>0</v>
      </c>
      <c r="F101" s="581">
        <f>IF(Założenia!$F$22=Wstęp!$A$14,'Emisje WI trasa istniejąca'!G$190,0)</f>
        <v>0</v>
      </c>
      <c r="G101" s="581">
        <f>IF(Założenia!$F$22=Wstęp!$A$14,'Emisje WI trasa istniejąca'!H$190,0)</f>
        <v>0</v>
      </c>
    </row>
    <row r="102" spans="1:7" hidden="1" outlineLevel="1">
      <c r="A102" s="546" t="s">
        <v>574</v>
      </c>
      <c r="B102" s="527" t="s">
        <v>262</v>
      </c>
      <c r="D102" s="581">
        <f>IF(Założenia!$D$24=Wstęp!$A$14,'Emisje WI trasa istniejąca'!E$205,0)</f>
        <v>0</v>
      </c>
      <c r="E102" s="581">
        <f>IF(Założenia!$D$24=Wstęp!$A$14,'Emisje WI trasa istniejąca'!F$205,0)</f>
        <v>0</v>
      </c>
      <c r="F102" s="581">
        <f>IF(Założenia!$D$24=Wstęp!$A$14,'Emisje WI trasa istniejąca'!G$205,0)</f>
        <v>0</v>
      </c>
      <c r="G102" s="581">
        <f>IF(Założenia!$D$24=Wstęp!$A$14,'Emisje WI trasa istniejąca'!H$205,0)</f>
        <v>0</v>
      </c>
    </row>
    <row r="103" spans="1:7" hidden="1" outlineLevel="1">
      <c r="A103" s="546" t="s">
        <v>575</v>
      </c>
      <c r="B103" s="527" t="s">
        <v>262</v>
      </c>
      <c r="D103" s="581">
        <f>IF(Założenia!$E$24=Wstęp!$A$14,'Emisje WI trasa istniejąca'!E$220,0)</f>
        <v>0</v>
      </c>
      <c r="E103" s="581">
        <f>IF(Założenia!$E$24=Wstęp!$A$14,'Emisje WI trasa istniejąca'!F$220,0)</f>
        <v>0</v>
      </c>
      <c r="F103" s="581">
        <f>IF(Założenia!$E$24=Wstęp!$A$14,'Emisje WI trasa istniejąca'!G$220,0)</f>
        <v>0</v>
      </c>
      <c r="G103" s="581">
        <f>IF(Założenia!$E$24=Wstęp!$A$14,'Emisje WI trasa istniejąca'!H$220,0)</f>
        <v>0</v>
      </c>
    </row>
    <row r="104" spans="1:7" hidden="1" outlineLevel="1">
      <c r="A104" s="546" t="s">
        <v>576</v>
      </c>
      <c r="B104" s="527" t="s">
        <v>262</v>
      </c>
      <c r="D104" s="581">
        <f>IF(Założenia!$F$24=Wstęp!$A$14,'Emisje WI trasa istniejąca'!E$235,0)</f>
        <v>0</v>
      </c>
      <c r="E104" s="581">
        <f>IF(Założenia!$F$24=Wstęp!$A$14,'Emisje WI trasa istniejąca'!F$235,0)</f>
        <v>0</v>
      </c>
      <c r="F104" s="581">
        <f>IF(Założenia!$F$24=Wstęp!$A$14,'Emisje WI trasa istniejąca'!G$235,0)</f>
        <v>0</v>
      </c>
      <c r="G104" s="581">
        <f>IF(Założenia!$F$24=Wstęp!$A$14,'Emisje WI trasa istniejąca'!H$235,0)</f>
        <v>0</v>
      </c>
    </row>
    <row r="105" spans="1:7" s="579" customFormat="1" hidden="1" outlineLevel="1">
      <c r="A105" s="546" t="s">
        <v>620</v>
      </c>
      <c r="B105" s="527" t="s">
        <v>262</v>
      </c>
      <c r="D105" s="581">
        <f>IF(Założenia!$D$26=Wstęp!$A$14,'Emisje WI trasa istniejąca'!E$275,0)</f>
        <v>0</v>
      </c>
      <c r="E105" s="581">
        <f>IF(Założenia!$D$26=Wstęp!$A$14,'Emisje WI trasa istniejąca'!F$275,0)</f>
        <v>0</v>
      </c>
      <c r="F105" s="581">
        <f>IF(Założenia!$D$26=Wstęp!$A$14,'Emisje WI trasa istniejąca'!G$275,0)</f>
        <v>0</v>
      </c>
      <c r="G105" s="581">
        <f>IF(Założenia!$D$26=Wstęp!$A$14,'Emisje WI trasa istniejąca'!H$275,0)</f>
        <v>0</v>
      </c>
    </row>
    <row r="106" spans="1:7" s="579" customFormat="1" hidden="1" outlineLevel="1">
      <c r="A106" s="546" t="s">
        <v>621</v>
      </c>
      <c r="B106" s="527" t="s">
        <v>262</v>
      </c>
      <c r="D106" s="581">
        <f>IF(Założenia!$E$26=Wstęp!$A$14,'Emisje WI trasa istniejąca'!E$310,0)</f>
        <v>0</v>
      </c>
      <c r="E106" s="581">
        <f>IF(Założenia!$E$26=Wstęp!$A$14,'Emisje WI trasa istniejąca'!F$310,0)</f>
        <v>0</v>
      </c>
      <c r="F106" s="581">
        <f>IF(Założenia!$E$26=Wstęp!$A$14,'Emisje WI trasa istniejąca'!G$310,0)</f>
        <v>0</v>
      </c>
      <c r="G106" s="581">
        <f>IF(Założenia!$E$26=Wstęp!$A$14,'Emisje WI trasa istniejąca'!H$310,0)</f>
        <v>0</v>
      </c>
    </row>
    <row r="107" spans="1:7" s="579" customFormat="1" hidden="1" outlineLevel="1">
      <c r="A107" s="546" t="s">
        <v>622</v>
      </c>
      <c r="B107" s="527" t="s">
        <v>262</v>
      </c>
      <c r="D107" s="581">
        <f>IF(Założenia!$F$26=Wstęp!$A$14,'Emisje WI trasa istniejąca'!E$345,0)</f>
        <v>0</v>
      </c>
      <c r="E107" s="581">
        <f>IF(Założenia!$F$26=Wstęp!$A$14,'Emisje WI trasa istniejąca'!F$345,0)</f>
        <v>0</v>
      </c>
      <c r="F107" s="581">
        <f>IF(Założenia!$F$26=Wstęp!$A$14,'Emisje WI trasa istniejąca'!G$345,0)</f>
        <v>0</v>
      </c>
      <c r="G107" s="581">
        <f>IF(Założenia!$F$26=Wstęp!$A$14,'Emisje WI trasa istniejąca'!H$345,0)</f>
        <v>0</v>
      </c>
    </row>
    <row r="108" spans="1:7" hidden="1" outlineLevel="1">
      <c r="A108" s="453" t="s">
        <v>583</v>
      </c>
    </row>
    <row r="109" spans="1:7" s="579" customFormat="1" hidden="1" outlineLevel="1">
      <c r="A109" s="588" t="s">
        <v>624</v>
      </c>
      <c r="B109" s="527" t="s">
        <v>584</v>
      </c>
      <c r="D109" s="550" t="s">
        <v>648</v>
      </c>
      <c r="E109" s="550">
        <f t="shared" ref="E109:G111" si="15">E93/(10^6)</f>
        <v>0</v>
      </c>
      <c r="F109" s="550">
        <f t="shared" si="15"/>
        <v>0</v>
      </c>
      <c r="G109" s="550">
        <f t="shared" si="15"/>
        <v>0</v>
      </c>
    </row>
    <row r="110" spans="1:7" s="579" customFormat="1" hidden="1" outlineLevel="1">
      <c r="A110" s="588" t="s">
        <v>623</v>
      </c>
      <c r="B110" s="527" t="s">
        <v>584</v>
      </c>
      <c r="D110" s="550" t="s">
        <v>648</v>
      </c>
      <c r="E110" s="550">
        <f t="shared" si="15"/>
        <v>0</v>
      </c>
      <c r="F110" s="550">
        <f t="shared" si="15"/>
        <v>0</v>
      </c>
      <c r="G110" s="550">
        <f t="shared" si="15"/>
        <v>0</v>
      </c>
    </row>
    <row r="111" spans="1:7" s="579" customFormat="1" hidden="1" outlineLevel="1">
      <c r="A111" s="588" t="s">
        <v>625</v>
      </c>
      <c r="B111" s="527" t="s">
        <v>584</v>
      </c>
      <c r="D111" s="550" t="s">
        <v>648</v>
      </c>
      <c r="E111" s="550">
        <f t="shared" si="15"/>
        <v>0</v>
      </c>
      <c r="F111" s="550">
        <f t="shared" si="15"/>
        <v>0</v>
      </c>
      <c r="G111" s="550">
        <f t="shared" si="15"/>
        <v>0</v>
      </c>
    </row>
    <row r="112" spans="1:7" hidden="1" outlineLevel="1">
      <c r="A112" s="546" t="s">
        <v>568</v>
      </c>
      <c r="B112" s="527" t="s">
        <v>584</v>
      </c>
      <c r="D112" s="550" t="s">
        <v>648</v>
      </c>
      <c r="E112" s="550">
        <f t="shared" ref="E112:G112" si="16">E96/(10^6)</f>
        <v>7.1500000000000014E-7</v>
      </c>
      <c r="F112" s="550">
        <f t="shared" si="16"/>
        <v>2.2000000000000005E-6</v>
      </c>
      <c r="G112" s="550">
        <f t="shared" si="16"/>
        <v>5.5000000000000009E-8</v>
      </c>
    </row>
    <row r="113" spans="1:22" hidden="1" outlineLevel="1">
      <c r="A113" s="546" t="s">
        <v>569</v>
      </c>
      <c r="B113" s="527" t="s">
        <v>584</v>
      </c>
      <c r="D113" s="550" t="s">
        <v>648</v>
      </c>
      <c r="E113" s="550">
        <f t="shared" ref="E113:G114" si="17">E97/(10^6)</f>
        <v>0</v>
      </c>
      <c r="F113" s="550">
        <f t="shared" si="17"/>
        <v>0</v>
      </c>
      <c r="G113" s="550">
        <f t="shared" si="17"/>
        <v>0</v>
      </c>
    </row>
    <row r="114" spans="1:22" hidden="1" outlineLevel="1">
      <c r="A114" s="546" t="s">
        <v>570</v>
      </c>
      <c r="B114" s="527" t="s">
        <v>584</v>
      </c>
      <c r="D114" s="550" t="s">
        <v>648</v>
      </c>
      <c r="E114" s="550">
        <f t="shared" si="17"/>
        <v>0</v>
      </c>
      <c r="F114" s="550">
        <f t="shared" si="17"/>
        <v>0</v>
      </c>
      <c r="G114" s="550">
        <f t="shared" si="17"/>
        <v>0</v>
      </c>
    </row>
    <row r="115" spans="1:22" s="579" customFormat="1" hidden="1" outlineLevel="1">
      <c r="A115" s="546" t="s">
        <v>611</v>
      </c>
      <c r="B115" s="527" t="s">
        <v>584</v>
      </c>
      <c r="D115" s="550" t="s">
        <v>648</v>
      </c>
      <c r="E115" s="550">
        <f t="shared" ref="E115:G117" si="18">E99/(10^6)</f>
        <v>0</v>
      </c>
      <c r="F115" s="550">
        <f t="shared" si="18"/>
        <v>0</v>
      </c>
      <c r="G115" s="550">
        <f t="shared" si="18"/>
        <v>0</v>
      </c>
    </row>
    <row r="116" spans="1:22" s="579" customFormat="1" hidden="1" outlineLevel="1">
      <c r="A116" s="546" t="s">
        <v>612</v>
      </c>
      <c r="B116" s="527" t="s">
        <v>584</v>
      </c>
      <c r="D116" s="550" t="s">
        <v>648</v>
      </c>
      <c r="E116" s="550">
        <f t="shared" si="18"/>
        <v>0</v>
      </c>
      <c r="F116" s="550">
        <f t="shared" si="18"/>
        <v>0</v>
      </c>
      <c r="G116" s="550">
        <f t="shared" si="18"/>
        <v>0</v>
      </c>
    </row>
    <row r="117" spans="1:22" s="579" customFormat="1" hidden="1" outlineLevel="1">
      <c r="A117" s="546" t="s">
        <v>613</v>
      </c>
      <c r="B117" s="527" t="s">
        <v>584</v>
      </c>
      <c r="D117" s="550" t="s">
        <v>648</v>
      </c>
      <c r="E117" s="550">
        <f t="shared" si="18"/>
        <v>0</v>
      </c>
      <c r="F117" s="550">
        <f t="shared" si="18"/>
        <v>0</v>
      </c>
      <c r="G117" s="550">
        <f t="shared" si="18"/>
        <v>0</v>
      </c>
    </row>
    <row r="118" spans="1:22" hidden="1" outlineLevel="1">
      <c r="A118" s="546" t="s">
        <v>574</v>
      </c>
      <c r="B118" s="527" t="s">
        <v>584</v>
      </c>
      <c r="D118" s="550">
        <f t="shared" ref="D118:G120" si="19">D102/(10^6)</f>
        <v>0</v>
      </c>
      <c r="E118" s="550">
        <f t="shared" si="19"/>
        <v>0</v>
      </c>
      <c r="F118" s="550">
        <f t="shared" si="19"/>
        <v>0</v>
      </c>
      <c r="G118" s="550">
        <f t="shared" si="19"/>
        <v>0</v>
      </c>
    </row>
    <row r="119" spans="1:22" hidden="1" outlineLevel="1">
      <c r="A119" s="546" t="s">
        <v>575</v>
      </c>
      <c r="B119" s="527" t="s">
        <v>584</v>
      </c>
      <c r="D119" s="550">
        <f t="shared" si="19"/>
        <v>0</v>
      </c>
      <c r="E119" s="550">
        <f t="shared" si="19"/>
        <v>0</v>
      </c>
      <c r="F119" s="550">
        <f t="shared" si="19"/>
        <v>0</v>
      </c>
      <c r="G119" s="550">
        <f t="shared" si="19"/>
        <v>0</v>
      </c>
    </row>
    <row r="120" spans="1:22" hidden="1" outlineLevel="1">
      <c r="A120" s="546" t="s">
        <v>576</v>
      </c>
      <c r="B120" s="527" t="s">
        <v>584</v>
      </c>
      <c r="D120" s="550">
        <f t="shared" si="19"/>
        <v>0</v>
      </c>
      <c r="E120" s="550">
        <f t="shared" si="19"/>
        <v>0</v>
      </c>
      <c r="F120" s="550">
        <f t="shared" si="19"/>
        <v>0</v>
      </c>
      <c r="G120" s="550">
        <f t="shared" si="19"/>
        <v>0</v>
      </c>
    </row>
    <row r="121" spans="1:22" s="579" customFormat="1" hidden="1" outlineLevel="1">
      <c r="A121" s="546" t="s">
        <v>620</v>
      </c>
      <c r="B121" s="527" t="s">
        <v>584</v>
      </c>
      <c r="D121" s="550">
        <f t="shared" ref="D121" si="20">D105/(10^6)</f>
        <v>0</v>
      </c>
      <c r="E121" s="550">
        <f t="shared" ref="E121:G123" si="21">E105/(10^6)</f>
        <v>0</v>
      </c>
      <c r="F121" s="550">
        <f t="shared" si="21"/>
        <v>0</v>
      </c>
      <c r="G121" s="550">
        <f t="shared" si="21"/>
        <v>0</v>
      </c>
    </row>
    <row r="122" spans="1:22" s="579" customFormat="1" hidden="1" outlineLevel="1">
      <c r="A122" s="546" t="s">
        <v>621</v>
      </c>
      <c r="B122" s="527" t="s">
        <v>584</v>
      </c>
      <c r="D122" s="550">
        <f t="shared" ref="D122" si="22">D106/(10^6)</f>
        <v>0</v>
      </c>
      <c r="E122" s="550">
        <f t="shared" si="21"/>
        <v>0</v>
      </c>
      <c r="F122" s="550">
        <f t="shared" si="21"/>
        <v>0</v>
      </c>
      <c r="G122" s="550">
        <f t="shared" si="21"/>
        <v>0</v>
      </c>
    </row>
    <row r="123" spans="1:22" s="579" customFormat="1" hidden="1" outlineLevel="1">
      <c r="A123" s="546" t="s">
        <v>622</v>
      </c>
      <c r="B123" s="527" t="s">
        <v>584</v>
      </c>
      <c r="D123" s="550">
        <f t="shared" ref="D123" si="23">D107/(10^6)</f>
        <v>0</v>
      </c>
      <c r="E123" s="550">
        <f t="shared" si="21"/>
        <v>0</v>
      </c>
      <c r="F123" s="550">
        <f t="shared" si="21"/>
        <v>0</v>
      </c>
      <c r="G123" s="550">
        <f t="shared" si="21"/>
        <v>0</v>
      </c>
    </row>
    <row r="124" spans="1:22" hidden="1" outlineLevel="1"/>
    <row r="125" spans="1:22" ht="18" hidden="1" outlineLevel="1">
      <c r="A125" s="533" t="s">
        <v>683</v>
      </c>
      <c r="B125" s="527" t="s">
        <v>587</v>
      </c>
      <c r="E125" s="133">
        <f t="shared" ref="E125:S125" si="24">E27</f>
        <v>487.60665354656209</v>
      </c>
      <c r="F125" s="133">
        <f t="shared" si="24"/>
        <v>573.06348973513491</v>
      </c>
      <c r="G125" s="133">
        <f t="shared" si="24"/>
        <v>658.52032592370756</v>
      </c>
      <c r="H125" s="133">
        <f t="shared" si="24"/>
        <v>743.97716211228033</v>
      </c>
      <c r="I125" s="133">
        <f t="shared" si="24"/>
        <v>829.43399830085309</v>
      </c>
      <c r="J125" s="133">
        <f t="shared" si="24"/>
        <v>914.89083448942586</v>
      </c>
      <c r="K125" s="133">
        <f t="shared" si="24"/>
        <v>1000.3476706779985</v>
      </c>
      <c r="L125" s="133">
        <f t="shared" si="24"/>
        <v>1085.8045068665713</v>
      </c>
      <c r="M125" s="133">
        <f t="shared" si="24"/>
        <v>1171.2613430551439</v>
      </c>
      <c r="N125" s="133">
        <f t="shared" si="24"/>
        <v>1256.7181792437168</v>
      </c>
      <c r="O125" s="133">
        <f t="shared" si="24"/>
        <v>1397.4706153190129</v>
      </c>
      <c r="P125" s="133">
        <f t="shared" si="24"/>
        <v>1538.2230513943093</v>
      </c>
      <c r="Q125" s="133">
        <f t="shared" si="24"/>
        <v>1678.9754874696057</v>
      </c>
      <c r="R125" s="133">
        <f t="shared" si="24"/>
        <v>1819.7279235449018</v>
      </c>
      <c r="S125" s="133">
        <f t="shared" si="24"/>
        <v>1960.480359620198</v>
      </c>
      <c r="T125" s="133">
        <f t="shared" ref="T125:V125" si="25">T27</f>
        <v>2096.2059229785195</v>
      </c>
      <c r="U125" s="133">
        <f t="shared" si="25"/>
        <v>2231.9314863368409</v>
      </c>
      <c r="V125" s="133">
        <f t="shared" si="25"/>
        <v>2367.6570496951622</v>
      </c>
    </row>
    <row r="126" spans="1:22" ht="18" hidden="1" outlineLevel="1">
      <c r="A126" s="533" t="s">
        <v>687</v>
      </c>
      <c r="B126" s="527" t="s">
        <v>587</v>
      </c>
      <c r="E126" s="133">
        <f>'Zanieczyszczenia transp.ląd'!V$55</f>
        <v>32513.914698948032</v>
      </c>
      <c r="F126" s="133">
        <f>'Zanieczyszczenia transp.ląd'!W$55</f>
        <v>33554.14201675776</v>
      </c>
      <c r="G126" s="133">
        <f>'Zanieczyszczenia transp.ląd'!X$55</f>
        <v>34470.72133979886</v>
      </c>
      <c r="H126" s="133">
        <f>'Zanieczyszczenia transp.ląd'!Y$55</f>
        <v>35362.032515645871</v>
      </c>
      <c r="I126" s="133">
        <f>'Zanieczyszczenia transp.ląd'!Z$55</f>
        <v>36309.991062725509</v>
      </c>
      <c r="J126" s="133">
        <f>'Zanieczyszczenia transp.ląd'!AA$55</f>
        <v>37259.668163041548</v>
      </c>
      <c r="K126" s="133">
        <f>'Zanieczyszczenia transp.ląd'!AB$55</f>
        <v>38239.785999352411</v>
      </c>
      <c r="L126" s="133">
        <f>'Zanieczyszczenia transp.ląd'!AC$55</f>
        <v>39220.714305819514</v>
      </c>
      <c r="M126" s="133">
        <f>'Zanieczyszczenia transp.ląd'!AD$55</f>
        <v>40201.047171775368</v>
      </c>
      <c r="N126" s="133">
        <f>'Zanieczyszczenia transp.ląd'!AE$55</f>
        <v>41179.289653652995</v>
      </c>
      <c r="O126" s="133">
        <f>'Zanieczyszczenia transp.ląd'!AF$55</f>
        <v>42187.860240388953</v>
      </c>
      <c r="P126" s="133">
        <f>'Zanieczyszczenia transp.ląd'!AG$55</f>
        <v>43193.537895998685</v>
      </c>
      <c r="Q126" s="133">
        <f>'Zanieczyszczenia transp.ląd'!AH$55</f>
        <v>44229.145495950113</v>
      </c>
      <c r="R126" s="133">
        <f>'Zanieczyszczenia transp.ląd'!AI$55</f>
        <v>45259.604558705418</v>
      </c>
      <c r="S126" s="133">
        <f>'Zanieczyszczenia transp.ląd'!AJ$55</f>
        <v>46282.673032145314</v>
      </c>
      <c r="T126" s="133">
        <f>'Zanieczyszczenia transp.ląd'!AK$55</f>
        <v>47296.716416751842</v>
      </c>
      <c r="U126" s="133">
        <f>'Zanieczyszczenia transp.ląd'!AL$55</f>
        <v>48299.498037655263</v>
      </c>
      <c r="V126" s="133">
        <f>'Zanieczyszczenia transp.ląd'!AM$55</f>
        <v>49288.745853706576</v>
      </c>
    </row>
    <row r="127" spans="1:22" hidden="1" outlineLevel="1">
      <c r="A127" s="533" t="s">
        <v>585</v>
      </c>
      <c r="B127" s="527" t="s">
        <v>587</v>
      </c>
      <c r="E127" s="133">
        <f t="shared" ref="E127:S127" si="26">E28</f>
        <v>2775.5780840565394</v>
      </c>
      <c r="F127" s="133">
        <f t="shared" si="26"/>
        <v>2864.3779770402962</v>
      </c>
      <c r="G127" s="133">
        <f t="shared" si="26"/>
        <v>2942.622553397463</v>
      </c>
      <c r="H127" s="133">
        <f t="shared" si="26"/>
        <v>3018.7100927990373</v>
      </c>
      <c r="I127" s="133">
        <f t="shared" si="26"/>
        <v>3099.6333834033967</v>
      </c>
      <c r="J127" s="133">
        <f t="shared" si="26"/>
        <v>3180.7033797718391</v>
      </c>
      <c r="K127" s="133">
        <f t="shared" si="26"/>
        <v>3264.3719755544739</v>
      </c>
      <c r="L127" s="133">
        <f t="shared" si="26"/>
        <v>3348.1097578138606</v>
      </c>
      <c r="M127" s="133">
        <f t="shared" si="26"/>
        <v>3431.7967097857018</v>
      </c>
      <c r="N127" s="133">
        <f t="shared" si="26"/>
        <v>3515.3052143362311</v>
      </c>
      <c r="O127" s="133">
        <f t="shared" si="26"/>
        <v>3601.4027034478368</v>
      </c>
      <c r="P127" s="133">
        <f t="shared" si="26"/>
        <v>3687.2532350242773</v>
      </c>
      <c r="Q127" s="133">
        <f t="shared" si="26"/>
        <v>3775.6587618493991</v>
      </c>
      <c r="R127" s="133">
        <f t="shared" si="26"/>
        <v>3863.6247794016813</v>
      </c>
      <c r="S127" s="133">
        <f t="shared" si="26"/>
        <v>3950.959892988014</v>
      </c>
      <c r="T127" s="133">
        <f t="shared" ref="T127:V127" si="27">T28</f>
        <v>4037.5245721617416</v>
      </c>
      <c r="U127" s="133">
        <f t="shared" si="27"/>
        <v>4123.1278812632536</v>
      </c>
      <c r="V127" s="133">
        <f t="shared" si="27"/>
        <v>4207.5758655603167</v>
      </c>
    </row>
    <row r="128" spans="1:22" ht="18" hidden="1" outlineLevel="1">
      <c r="A128" s="544" t="s">
        <v>688</v>
      </c>
      <c r="B128" s="527" t="s">
        <v>587</v>
      </c>
      <c r="E128" s="133">
        <f t="shared" ref="E128:S128" si="28">E29</f>
        <v>46788.316274095952</v>
      </c>
      <c r="F128" s="133">
        <f t="shared" si="28"/>
        <v>48285.228755822143</v>
      </c>
      <c r="G128" s="133">
        <f t="shared" si="28"/>
        <v>49604.208757271525</v>
      </c>
      <c r="H128" s="133">
        <f t="shared" si="28"/>
        <v>50886.827278612349</v>
      </c>
      <c r="I128" s="133">
        <f t="shared" si="28"/>
        <v>52250.962748800121</v>
      </c>
      <c r="J128" s="133">
        <f t="shared" si="28"/>
        <v>53617.571259011005</v>
      </c>
      <c r="K128" s="133">
        <f t="shared" si="28"/>
        <v>55027.984730775424</v>
      </c>
      <c r="L128" s="133">
        <f t="shared" si="28"/>
        <v>56439.564488862219</v>
      </c>
      <c r="M128" s="133">
        <f t="shared" si="28"/>
        <v>57850.287393530394</v>
      </c>
      <c r="N128" s="133">
        <f t="shared" si="28"/>
        <v>59258.00218452503</v>
      </c>
      <c r="O128" s="133">
        <f t="shared" si="28"/>
        <v>60709.359858120675</v>
      </c>
      <c r="P128" s="133">
        <f t="shared" si="28"/>
        <v>62156.55453326639</v>
      </c>
      <c r="Q128" s="133">
        <f t="shared" si="28"/>
        <v>63646.819128318442</v>
      </c>
      <c r="R128" s="133">
        <f t="shared" si="28"/>
        <v>65129.674852771204</v>
      </c>
      <c r="S128" s="133">
        <f t="shared" si="28"/>
        <v>66601.895338940813</v>
      </c>
      <c r="T128" s="133">
        <f t="shared" ref="T128:V128" si="29">T29</f>
        <v>68061.128502155072</v>
      </c>
      <c r="U128" s="133">
        <f t="shared" si="29"/>
        <v>69504.155712723412</v>
      </c>
      <c r="V128" s="133">
        <f t="shared" si="29"/>
        <v>70927.707448016765</v>
      </c>
    </row>
    <row r="129" spans="1:22" hidden="1" outlineLevel="1">
      <c r="A129" s="544" t="s">
        <v>586</v>
      </c>
      <c r="B129" s="527" t="s">
        <v>587</v>
      </c>
      <c r="E129" s="133">
        <f t="shared" ref="E129:S129" si="30">E30</f>
        <v>304124.05578162376</v>
      </c>
      <c r="F129" s="133">
        <f t="shared" si="30"/>
        <v>313853.98691284395</v>
      </c>
      <c r="G129" s="133">
        <f t="shared" si="30"/>
        <v>322427.35692226497</v>
      </c>
      <c r="H129" s="133">
        <f t="shared" si="30"/>
        <v>330764.37731098029</v>
      </c>
      <c r="I129" s="133">
        <f t="shared" si="30"/>
        <v>339631.25786720088</v>
      </c>
      <c r="J129" s="133">
        <f t="shared" si="30"/>
        <v>348514.21318357158</v>
      </c>
      <c r="K129" s="133">
        <f t="shared" si="30"/>
        <v>357681.90075004025</v>
      </c>
      <c r="L129" s="133">
        <f t="shared" si="30"/>
        <v>366857.16917760449</v>
      </c>
      <c r="M129" s="133">
        <f t="shared" si="30"/>
        <v>376026.86805794766</v>
      </c>
      <c r="N129" s="133">
        <f t="shared" si="30"/>
        <v>385177.01419941284</v>
      </c>
      <c r="O129" s="133">
        <f t="shared" si="30"/>
        <v>394610.83907778445</v>
      </c>
      <c r="P129" s="133">
        <f t="shared" si="30"/>
        <v>404017.6044662316</v>
      </c>
      <c r="Q129" s="133">
        <f t="shared" si="30"/>
        <v>413704.32433406997</v>
      </c>
      <c r="R129" s="133">
        <f t="shared" si="30"/>
        <v>423342.88654301292</v>
      </c>
      <c r="S129" s="133">
        <f t="shared" si="30"/>
        <v>432912.31970311538</v>
      </c>
      <c r="T129" s="133">
        <f t="shared" ref="T129:V129" si="31">T30</f>
        <v>442397.33526400814</v>
      </c>
      <c r="U129" s="133">
        <f t="shared" si="31"/>
        <v>451777.01213270234</v>
      </c>
      <c r="V129" s="133">
        <f t="shared" si="31"/>
        <v>461030.09841210913</v>
      </c>
    </row>
    <row r="130" spans="1:22" hidden="1" outlineLevel="1">
      <c r="C130" s="608" t="s">
        <v>689</v>
      </c>
      <c r="T130" s="618"/>
      <c r="U130" s="618"/>
      <c r="V130" s="618"/>
    </row>
    <row r="131" spans="1:22" ht="18" hidden="1" outlineLevel="1">
      <c r="A131" s="608" t="s">
        <v>685</v>
      </c>
      <c r="B131" s="527" t="s">
        <v>591</v>
      </c>
      <c r="C131" s="551">
        <f>SUM(E131:S131)</f>
        <v>10945.14914612515</v>
      </c>
      <c r="E131" s="428">
        <f>SUMPRODUCT($D$76:$D$90,Założenia!E$101:E$115)</f>
        <v>729.67660974167666</v>
      </c>
      <c r="F131" s="428">
        <f>SUMPRODUCT($D$76:$D$90,Założenia!F$101:F$115)</f>
        <v>729.67660974167666</v>
      </c>
      <c r="G131" s="428">
        <f>SUMPRODUCT($D$76:$D$90,Założenia!G$101:G$115)</f>
        <v>729.67660974167666</v>
      </c>
      <c r="H131" s="428">
        <f>SUMPRODUCT($D$76:$D$90,Założenia!H$101:H$115)</f>
        <v>729.67660974167666</v>
      </c>
      <c r="I131" s="428">
        <f>SUMPRODUCT($D$76:$D$90,Założenia!I$101:I$115)</f>
        <v>729.67660974167666</v>
      </c>
      <c r="J131" s="428">
        <f>SUMPRODUCT($D$76:$D$90,Założenia!J$101:J$115)</f>
        <v>729.67660974167666</v>
      </c>
      <c r="K131" s="428">
        <f>SUMPRODUCT($D$76:$D$90,Założenia!K$101:K$115)</f>
        <v>729.67660974167666</v>
      </c>
      <c r="L131" s="428">
        <f>SUMPRODUCT($D$76:$D$90,Założenia!L$101:L$115)</f>
        <v>729.67660974167666</v>
      </c>
      <c r="M131" s="428">
        <f>SUMPRODUCT($D$76:$D$90,Założenia!M$101:M$115)</f>
        <v>729.67660974167666</v>
      </c>
      <c r="N131" s="428">
        <f>SUMPRODUCT($D$76:$D$90,Założenia!N$101:N$115)</f>
        <v>729.67660974167666</v>
      </c>
      <c r="O131" s="428">
        <f>SUMPRODUCT($D$76:$D$90,Założenia!O$101:O$115)</f>
        <v>729.67660974167666</v>
      </c>
      <c r="P131" s="428">
        <f>SUMPRODUCT($D$76:$D$90,Założenia!P$101:P$115)</f>
        <v>729.67660974167666</v>
      </c>
      <c r="Q131" s="428">
        <f>SUMPRODUCT($D$76:$D$90,Założenia!Q$101:Q$115)</f>
        <v>729.67660974167666</v>
      </c>
      <c r="R131" s="428">
        <f>SUMPRODUCT($D$76:$D$90,Założenia!R$101:R$115)</f>
        <v>729.67660974167666</v>
      </c>
      <c r="S131" s="428">
        <f>SUMPRODUCT($D$76:$D$90,Założenia!S$101:S$115)</f>
        <v>729.67660974167666</v>
      </c>
      <c r="T131" s="428">
        <f>SUMPRODUCT($D$76:$D$90,Założenia!T$101:T$115)</f>
        <v>0</v>
      </c>
      <c r="U131" s="428">
        <f>SUMPRODUCT($D$76:$D$90,Założenia!U$101:U$115)</f>
        <v>0</v>
      </c>
      <c r="V131" s="428">
        <f>SUMPRODUCT($D$76:$D$90,Założenia!V$101:V$115)</f>
        <v>0</v>
      </c>
    </row>
    <row r="132" spans="1:22" ht="18" hidden="1" outlineLevel="1">
      <c r="A132" s="1" t="s">
        <v>686</v>
      </c>
      <c r="B132" s="527" t="s">
        <v>590</v>
      </c>
      <c r="C132" s="551">
        <f>SUM(E132:S132)</f>
        <v>12489510.859074142</v>
      </c>
      <c r="E132" s="133">
        <f>E$131*E$125</f>
        <v>355795.16984733974</v>
      </c>
      <c r="F132" s="133">
        <f t="shared" ref="F132:V132" si="32">F$131*F$125</f>
        <v>418151.02435666736</v>
      </c>
      <c r="G132" s="133">
        <f t="shared" si="32"/>
        <v>480506.87886599486</v>
      </c>
      <c r="H132" s="133">
        <f t="shared" si="32"/>
        <v>542862.73337532242</v>
      </c>
      <c r="I132" s="133">
        <f t="shared" si="32"/>
        <v>605218.5878846501</v>
      </c>
      <c r="J132" s="133">
        <f t="shared" si="32"/>
        <v>667574.44239397766</v>
      </c>
      <c r="K132" s="133">
        <f t="shared" si="32"/>
        <v>729930.29690330522</v>
      </c>
      <c r="L132" s="133">
        <f t="shared" si="32"/>
        <v>792286.15141263278</v>
      </c>
      <c r="M132" s="133">
        <f t="shared" si="32"/>
        <v>854642.00592196034</v>
      </c>
      <c r="N132" s="133">
        <f t="shared" si="32"/>
        <v>916997.86043128802</v>
      </c>
      <c r="O132" s="133">
        <f t="shared" si="32"/>
        <v>1019701.6207995921</v>
      </c>
      <c r="P132" s="133">
        <f t="shared" si="32"/>
        <v>1122405.3811678966</v>
      </c>
      <c r="Q132" s="133">
        <f t="shared" si="32"/>
        <v>1225109.1415362009</v>
      </c>
      <c r="R132" s="133">
        <f t="shared" si="32"/>
        <v>1327812.901904505</v>
      </c>
      <c r="S132" s="133">
        <f t="shared" si="32"/>
        <v>1430516.6622728091</v>
      </c>
      <c r="T132" s="133">
        <f t="shared" si="32"/>
        <v>0</v>
      </c>
      <c r="U132" s="133">
        <f t="shared" si="32"/>
        <v>0</v>
      </c>
      <c r="V132" s="133">
        <f t="shared" si="32"/>
        <v>0</v>
      </c>
    </row>
    <row r="133" spans="1:22" hidden="1" outlineLevel="1">
      <c r="A133" s="1" t="s">
        <v>592</v>
      </c>
      <c r="B133" s="527" t="s">
        <v>590</v>
      </c>
      <c r="C133" s="551">
        <f>SUM(E133:S133)</f>
        <v>529292.78012299084</v>
      </c>
      <c r="E133" s="133">
        <f>SUMPRODUCT($D$109:$D$123,Założenia!E$101:E$115)*E$126+SUMPRODUCT($E$109:$E$123,Założenia!E$101:E$115)*E$127+SUMPRODUCT($F$109:$F$123,Założenia!E$101:E$115)*E$128+SUMPRODUCT($G$109:$G$123,Założenia!E$101:E$115)*E$129</f>
        <v>29194.957728264206</v>
      </c>
      <c r="F133" s="133">
        <f>SUMPRODUCT($D$109:$D$123,Założenia!F$101:F$115)*F$126+SUMPRODUCT($E$109:$E$123,Założenia!F$101:F$115)*F$127+SUMPRODUCT($F$109:$F$123,Założenia!F$101:F$115)*F$128+SUMPRODUCT($G$109:$G$123,Założenia!F$101:F$115)*F$129</f>
        <v>30129.000671183752</v>
      </c>
      <c r="G133" s="133">
        <f>SUMPRODUCT($D$109:$D$123,Założenia!G$101:G$115)*G$126+SUMPRODUCT($E$109:$E$123,Założenia!G$101:G$115)*G$127+SUMPRODUCT($F$109:$F$123,Założenia!G$101:G$115)*G$128+SUMPRODUCT($G$109:$G$123,Założenia!G$101:G$115)*G$129</f>
        <v>30952.017365376276</v>
      </c>
      <c r="H133" s="133">
        <f>SUMPRODUCT($D$109:$D$123,Założenia!H$101:H$115)*H$126+SUMPRODUCT($E$109:$E$123,Założenia!H$101:H$115)*H$127+SUMPRODUCT($F$109:$F$123,Założenia!H$101:H$115)*H$128+SUMPRODUCT($G$109:$G$123,Założenia!H$101:H$115)*H$129</f>
        <v>31752.345235536581</v>
      </c>
      <c r="I133" s="133">
        <f>SUMPRODUCT($D$109:$D$123,Założenia!I$101:I$115)*I$126+SUMPRODUCT($E$109:$E$123,Założenia!I$101:I$115)*I$127+SUMPRODUCT($F$109:$F$123,Założenia!I$101:I$115)*I$128+SUMPRODUCT($G$109:$G$123,Założenia!I$101:I$115)*I$129</f>
        <v>32603.538023805544</v>
      </c>
      <c r="J133" s="133">
        <f>SUMPRODUCT($D$109:$D$123,Założenia!J$101:J$115)*J$126+SUMPRODUCT($E$109:$E$123,Założenia!J$101:J$115)*J$127+SUMPRODUCT($F$109:$F$123,Założenia!J$101:J$115)*J$128+SUMPRODUCT($G$109:$G$123,Założenia!J$101:J$115)*J$129</f>
        <v>33456.273938749815</v>
      </c>
      <c r="K133" s="133">
        <f>SUMPRODUCT($D$109:$D$123,Założenia!K$101:K$115)*K$126+SUMPRODUCT($E$109:$E$123,Założenia!K$101:K$115)*K$127+SUMPRODUCT($F$109:$F$123,Założenia!K$101:K$115)*K$128+SUMPRODUCT($G$109:$G$123,Założenia!K$101:K$115)*K$129</f>
        <v>34336.343258755107</v>
      </c>
      <c r="L133" s="133">
        <f>SUMPRODUCT($D$109:$D$123,Założenia!L$101:L$115)*L$126+SUMPRODUCT($E$109:$E$123,Założenia!L$101:L$115)*L$127+SUMPRODUCT($F$109:$F$123,Założenia!L$101:L$115)*L$128+SUMPRODUCT($G$109:$G$123,Założenia!L$101:L$115)*L$129</f>
        <v>35217.140317704499</v>
      </c>
      <c r="M133" s="133">
        <f>SUMPRODUCT($D$109:$D$123,Założenia!M$101:M$115)*M$126+SUMPRODUCT($E$109:$E$123,Założenia!M$101:M$115)*M$127+SUMPRODUCT($F$109:$F$123,Założenia!M$101:M$115)*M$128+SUMPRODUCT($G$109:$G$123,Założenia!M$101:M$115)*M$129</f>
        <v>36097.40271754819</v>
      </c>
      <c r="N133" s="133">
        <f>SUMPRODUCT($D$109:$D$123,Założenia!N$101:N$115)*N$126+SUMPRODUCT($E$109:$E$123,Założenia!N$101:N$115)*N$127+SUMPRODUCT($F$109:$F$123,Założenia!N$101:N$115)*N$128+SUMPRODUCT($G$109:$G$123,Założenia!N$101:N$115)*N$129</f>
        <v>36975.788115641568</v>
      </c>
      <c r="O133" s="133">
        <f>SUMPRODUCT($D$109:$D$123,Założenia!O$101:O$115)*O$126+SUMPRODUCT($E$109:$E$123,Założenia!O$101:O$115)*O$127+SUMPRODUCT($F$109:$F$123,Założenia!O$101:O$115)*O$128+SUMPRODUCT($G$109:$G$123,Założenia!O$101:O$115)*O$129</f>
        <v>37881.405784826129</v>
      </c>
      <c r="P133" s="133">
        <f>SUMPRODUCT($D$109:$D$123,Założenia!P$101:P$115)*P$126+SUMPRODUCT($E$109:$E$123,Założenia!P$101:P$115)*P$127+SUMPRODUCT($F$109:$F$123,Założenia!P$101:P$115)*P$128+SUMPRODUCT($G$109:$G$123,Założenia!P$101:P$115)*P$129</f>
        <v>38784.425827649087</v>
      </c>
      <c r="Q133" s="133">
        <f>SUMPRODUCT($D$109:$D$123,Założenia!Q$101:Q$115)*Q$126+SUMPRODUCT($E$109:$E$123,Założenia!Q$101:Q$115)*Q$127+SUMPRODUCT($F$109:$F$123,Założenia!Q$101:Q$115)*Q$128+SUMPRODUCT($G$109:$G$123,Założenia!Q$101:Q$115)*Q$129</f>
        <v>39714.320624495223</v>
      </c>
      <c r="R133" s="133">
        <f>SUMPRODUCT($D$109:$D$123,Założenia!R$101:R$115)*R$126+SUMPRODUCT($E$109:$E$123,Założenia!R$101:R$115)*R$127+SUMPRODUCT($F$109:$F$123,Założenia!R$101:R$115)*R$128+SUMPRODUCT($G$109:$G$123,Założenia!R$101:R$115)*R$129</f>
        <v>40639.5924367763</v>
      </c>
      <c r="S133" s="133">
        <f>SUMPRODUCT($D$109:$D$123,Założenia!S$101:S$115)*S$126+SUMPRODUCT($E$109:$E$123,Założenia!S$101:S$115)*S$127+SUMPRODUCT($F$109:$F$123,Założenia!S$101:S$115)*S$128+SUMPRODUCT($G$109:$G$123,Założenia!S$101:S$115)*S$129</f>
        <v>41558.228076678621</v>
      </c>
      <c r="T133" s="133">
        <f>SUMPRODUCT($D$109:$D$123,Założenia!T$101:T$115)*T$126+SUMPRODUCT($E$109:$E$123,Założenia!T$101:T$115)*T$127+SUMPRODUCT($F$109:$F$123,Założenia!T$101:T$115)*T$128+SUMPRODUCT($G$109:$G$123,Założenia!T$101:T$115)*T$129</f>
        <v>0</v>
      </c>
      <c r="U133" s="133">
        <f>SUMPRODUCT($D$109:$D$123,Założenia!U$101:U$115)*U$126+SUMPRODUCT($E$109:$E$123,Założenia!U$101:U$115)*U$127+SUMPRODUCT($F$109:$F$123,Założenia!U$101:U$115)*U$128+SUMPRODUCT($G$109:$G$123,Założenia!U$101:U$115)*U$129</f>
        <v>0</v>
      </c>
      <c r="V133" s="133">
        <f>SUMPRODUCT($D$109:$D$123,Założenia!V$101:V$115)*V$126+SUMPRODUCT($E$109:$E$123,Założenia!V$101:V$115)*V$127+SUMPRODUCT($F$109:$F$123,Założenia!V$101:V$115)*V$128+SUMPRODUCT($G$109:$G$123,Założenia!V$101:V$115)*V$129</f>
        <v>0</v>
      </c>
    </row>
    <row r="134" spans="1:22" hidden="1" outlineLevel="1">
      <c r="A134" s="1" t="s">
        <v>595</v>
      </c>
      <c r="B134" s="527" t="s">
        <v>590</v>
      </c>
      <c r="C134" s="559">
        <f>SUM(E134:S134)</f>
        <v>9868709.3723503184</v>
      </c>
      <c r="E134" s="609">
        <f>(E132+E133)*Założenia!E11</f>
        <v>373776.82288893586</v>
      </c>
      <c r="F134" s="609">
        <f>(F132+F133)*Założenia!F11</f>
        <v>422546.9177376295</v>
      </c>
      <c r="G134" s="609">
        <f>(G132+G133)*Założenia!G11</f>
        <v>468057.34298811248</v>
      </c>
      <c r="H134" s="609">
        <f>(H132+H133)*Założenia!H11</f>
        <v>510538.0548828037</v>
      </c>
      <c r="I134" s="609">
        <f>(I132+I133)*Założenia!I11</f>
        <v>550190.96868321626</v>
      </c>
      <c r="J134" s="609">
        <f>(J132+J133)*Założenia!J11</f>
        <v>587102.18838032405</v>
      </c>
      <c r="K134" s="609">
        <f>(K132+K133)*Założenia!K11</f>
        <v>621418.71751867665</v>
      </c>
      <c r="L134" s="609">
        <f>(L132+L133)*Założenia!L11</f>
        <v>653238.73991710693</v>
      </c>
      <c r="M134" s="609">
        <f>(M132+M133)*Założenia!M11</f>
        <v>682677.58693918679</v>
      </c>
      <c r="N134" s="609">
        <f>(N132+N133)*Założenia!N11</f>
        <v>709845.98685559747</v>
      </c>
      <c r="O134" s="609">
        <f>(O132+O133)*Założenia!O11</f>
        <v>764020.48017429828</v>
      </c>
      <c r="P134" s="609">
        <f>(P132+P133)*Założenia!P11</f>
        <v>814435.16771183757</v>
      </c>
      <c r="Q134" s="609">
        <f>(Q132+Q133)*Założenia!Q11</f>
        <v>861283.23141313659</v>
      </c>
      <c r="R134" s="609">
        <f>(R132+R133)*Założenia!R11</f>
        <v>904708.31042592425</v>
      </c>
      <c r="S134" s="609">
        <f>(S132+S133)*Założenia!S11</f>
        <v>944868.85583353182</v>
      </c>
      <c r="T134" s="609">
        <f>(T132+T133)*Założenia!T11</f>
        <v>0</v>
      </c>
      <c r="U134" s="609">
        <f>(U132+U133)*Założenia!U11</f>
        <v>0</v>
      </c>
      <c r="V134" s="609">
        <f>(V132+V133)*Założenia!V11</f>
        <v>0</v>
      </c>
    </row>
    <row r="135" spans="1:22" hidden="1" outlineLevel="1">
      <c r="C135" s="560"/>
    </row>
    <row r="136" spans="1:22" hidden="1" outlineLevel="1"/>
    <row r="137" spans="1:22" hidden="1" outlineLevel="1">
      <c r="A137" s="1" t="s">
        <v>596</v>
      </c>
    </row>
    <row r="138" spans="1:22" ht="18" hidden="1" outlineLevel="1">
      <c r="A138" s="545" t="s">
        <v>281</v>
      </c>
    </row>
    <row r="139" spans="1:22" s="579" customFormat="1" hidden="1" outlineLevel="1">
      <c r="A139" s="588" t="s">
        <v>624</v>
      </c>
      <c r="B139" s="527" t="s">
        <v>588</v>
      </c>
      <c r="D139" s="428">
        <f>IF(Założenia!$D$53=Wstęp!$A$14,'Emisje WI trasa nowa'!$B$44,0)</f>
        <v>0</v>
      </c>
    </row>
    <row r="140" spans="1:22" s="579" customFormat="1" hidden="1" outlineLevel="1">
      <c r="A140" s="588" t="s">
        <v>623</v>
      </c>
      <c r="B140" s="527" t="s">
        <v>588</v>
      </c>
      <c r="D140" s="581">
        <f>IF(Założenia!$E$53=Wstęp!$A$14,'Emisje WI trasa nowa'!$B$63,0)</f>
        <v>0</v>
      </c>
    </row>
    <row r="141" spans="1:22" s="579" customFormat="1" hidden="1" outlineLevel="1">
      <c r="A141" s="588" t="s">
        <v>625</v>
      </c>
      <c r="B141" s="527" t="s">
        <v>588</v>
      </c>
      <c r="D141" s="581">
        <f>IF(Założenia!$F$53=Wstęp!$A$14,'Emisje WI trasa nowa'!$B$82,0)</f>
        <v>0</v>
      </c>
    </row>
    <row r="142" spans="1:22" hidden="1" outlineLevel="1">
      <c r="A142" s="546" t="s">
        <v>568</v>
      </c>
      <c r="B142" s="527" t="s">
        <v>588</v>
      </c>
      <c r="D142" s="581">
        <f>IF(Założenia!$D$55=Wstęp!$A$14,'Emisje WI trasa nowa'!$B$102,0)</f>
        <v>0</v>
      </c>
    </row>
    <row r="143" spans="1:22" hidden="1" outlineLevel="1">
      <c r="A143" s="546" t="s">
        <v>569</v>
      </c>
      <c r="B143" s="527" t="s">
        <v>588</v>
      </c>
      <c r="D143" s="581">
        <f>IF(Założenia!$E$55=Wstęp!$A$14,'Emisje WI trasa nowa'!$B$122,0)</f>
        <v>0</v>
      </c>
    </row>
    <row r="144" spans="1:22" hidden="1" outlineLevel="1">
      <c r="A144" s="546" t="s">
        <v>570</v>
      </c>
      <c r="B144" s="527" t="s">
        <v>588</v>
      </c>
      <c r="D144" s="581">
        <f>IF(Założenia!$F$55=Wstęp!$A$14,'Emisje WI trasa nowa'!$B$142,0)</f>
        <v>0</v>
      </c>
    </row>
    <row r="145" spans="1:4" s="579" customFormat="1" hidden="1" outlineLevel="1">
      <c r="A145" s="546" t="s">
        <v>611</v>
      </c>
      <c r="B145" s="527" t="s">
        <v>588</v>
      </c>
      <c r="D145" s="581">
        <f>IF(Założenia!$D$57=Wstęp!$A$14,'Emisje WI trasa nowa'!$B$160,0)</f>
        <v>0</v>
      </c>
    </row>
    <row r="146" spans="1:4" s="579" customFormat="1" hidden="1" outlineLevel="1">
      <c r="A146" s="546" t="s">
        <v>612</v>
      </c>
      <c r="B146" s="527" t="s">
        <v>588</v>
      </c>
      <c r="D146" s="581">
        <f>IF(Założenia!$E$57=Wstęp!$A$14,'Emisje WI trasa nowa'!$B$178,0)</f>
        <v>0</v>
      </c>
    </row>
    <row r="147" spans="1:4" s="579" customFormat="1" hidden="1" outlineLevel="1">
      <c r="A147" s="546" t="s">
        <v>613</v>
      </c>
      <c r="B147" s="527" t="s">
        <v>588</v>
      </c>
      <c r="D147" s="581">
        <f>IF(Założenia!$F$57=Wstęp!$A$14,'Emisje WI trasa nowa'!$B$196,0)</f>
        <v>0</v>
      </c>
    </row>
    <row r="148" spans="1:4" hidden="1" outlineLevel="1">
      <c r="A148" s="546" t="s">
        <v>574</v>
      </c>
      <c r="B148" s="527" t="s">
        <v>588</v>
      </c>
      <c r="D148" s="581">
        <f>IF(Założenia!$D$59=Wstęp!$A$14,'Emisje WI trasa nowa'!$B$208,0)</f>
        <v>0</v>
      </c>
    </row>
    <row r="149" spans="1:4" hidden="1" outlineLevel="1">
      <c r="A149" s="546" t="s">
        <v>575</v>
      </c>
      <c r="B149" s="527" t="s">
        <v>588</v>
      </c>
      <c r="D149" s="581">
        <f>IF(Założenia!$E$59=Wstęp!$A$14,'Emisje WI trasa nowa'!$B$223,0)</f>
        <v>0</v>
      </c>
    </row>
    <row r="150" spans="1:4" hidden="1" outlineLevel="1">
      <c r="A150" s="546" t="s">
        <v>576</v>
      </c>
      <c r="B150" s="527" t="s">
        <v>588</v>
      </c>
      <c r="D150" s="581">
        <f>IF(Założenia!$F$59=Wstęp!$A$14,'Emisje WI trasa nowa'!$B$238,0)</f>
        <v>0</v>
      </c>
    </row>
    <row r="151" spans="1:4" s="579" customFormat="1" hidden="1" outlineLevel="1">
      <c r="A151" s="546" t="s">
        <v>620</v>
      </c>
      <c r="B151" s="527" t="s">
        <v>588</v>
      </c>
      <c r="D151" s="581">
        <f>IF(Założenia!$D$61=Wstęp!$A$14,'Emisje WI trasa nowa'!$B$276,0)</f>
        <v>0.86280784413882139</v>
      </c>
    </row>
    <row r="152" spans="1:4" s="579" customFormat="1" hidden="1" outlineLevel="1">
      <c r="A152" s="546" t="s">
        <v>621</v>
      </c>
      <c r="B152" s="527" t="s">
        <v>588</v>
      </c>
      <c r="D152" s="581">
        <f>IF(Założenia!$E$61=Wstęp!$A$14,'Emisje WI trasa nowa'!$B$311,0)</f>
        <v>0.67698823433019439</v>
      </c>
    </row>
    <row r="153" spans="1:4" s="579" customFormat="1" hidden="1" outlineLevel="1">
      <c r="A153" s="546" t="s">
        <v>622</v>
      </c>
      <c r="B153" s="527" t="s">
        <v>588</v>
      </c>
      <c r="D153" s="581">
        <f>IF(Założenia!$F$61=Wstęp!$A$14,'Emisje WI trasa nowa'!$B$346,0)</f>
        <v>0</v>
      </c>
    </row>
    <row r="154" spans="1:4" hidden="1" outlineLevel="1">
      <c r="A154" s="453" t="s">
        <v>581</v>
      </c>
    </row>
    <row r="155" spans="1:4" s="579" customFormat="1" hidden="1" outlineLevel="1">
      <c r="A155" s="588" t="s">
        <v>624</v>
      </c>
      <c r="B155" s="527" t="s">
        <v>584</v>
      </c>
      <c r="D155" s="558">
        <f t="shared" ref="D155:D157" si="33">D139/(10^3)</f>
        <v>0</v>
      </c>
    </row>
    <row r="156" spans="1:4" s="579" customFormat="1" hidden="1" outlineLevel="1">
      <c r="A156" s="588" t="s">
        <v>623</v>
      </c>
      <c r="B156" s="527" t="s">
        <v>584</v>
      </c>
      <c r="D156" s="558">
        <f t="shared" si="33"/>
        <v>0</v>
      </c>
    </row>
    <row r="157" spans="1:4" s="579" customFormat="1" hidden="1" outlineLevel="1">
      <c r="A157" s="588" t="s">
        <v>625</v>
      </c>
      <c r="B157" s="527" t="s">
        <v>584</v>
      </c>
      <c r="D157" s="558">
        <f t="shared" si="33"/>
        <v>0</v>
      </c>
    </row>
    <row r="158" spans="1:4" hidden="1" outlineLevel="1">
      <c r="A158" s="546" t="s">
        <v>568</v>
      </c>
      <c r="B158" s="527" t="s">
        <v>584</v>
      </c>
      <c r="D158" s="558">
        <f>D142/(10^3)</f>
        <v>0</v>
      </c>
    </row>
    <row r="159" spans="1:4" hidden="1" outlineLevel="1">
      <c r="A159" s="546" t="s">
        <v>569</v>
      </c>
      <c r="B159" s="527" t="s">
        <v>584</v>
      </c>
      <c r="D159" s="558">
        <f>D143/(10^3)</f>
        <v>0</v>
      </c>
    </row>
    <row r="160" spans="1:4" hidden="1" outlineLevel="1">
      <c r="A160" s="546" t="s">
        <v>570</v>
      </c>
      <c r="B160" s="527" t="s">
        <v>584</v>
      </c>
      <c r="D160" s="558">
        <f>D144/(10^3)</f>
        <v>0</v>
      </c>
    </row>
    <row r="161" spans="1:7" s="579" customFormat="1" hidden="1" outlineLevel="1">
      <c r="A161" s="546" t="s">
        <v>611</v>
      </c>
      <c r="B161" s="527" t="s">
        <v>584</v>
      </c>
      <c r="D161" s="558">
        <f t="shared" ref="D161:D163" si="34">D145/(10^3)</f>
        <v>0</v>
      </c>
    </row>
    <row r="162" spans="1:7" s="579" customFormat="1" hidden="1" outlineLevel="1">
      <c r="A162" s="546" t="s">
        <v>612</v>
      </c>
      <c r="B162" s="527" t="s">
        <v>584</v>
      </c>
      <c r="D162" s="558">
        <f t="shared" si="34"/>
        <v>0</v>
      </c>
    </row>
    <row r="163" spans="1:7" s="579" customFormat="1" hidden="1" outlineLevel="1">
      <c r="A163" s="546" t="s">
        <v>613</v>
      </c>
      <c r="B163" s="527" t="s">
        <v>584</v>
      </c>
      <c r="D163" s="558">
        <f t="shared" si="34"/>
        <v>0</v>
      </c>
    </row>
    <row r="164" spans="1:7" hidden="1" outlineLevel="1">
      <c r="A164" s="546" t="s">
        <v>574</v>
      </c>
      <c r="B164" s="527" t="s">
        <v>584</v>
      </c>
      <c r="D164" s="558">
        <f>D148/(10^3)</f>
        <v>0</v>
      </c>
    </row>
    <row r="165" spans="1:7" hidden="1" outlineLevel="1">
      <c r="A165" s="546" t="s">
        <v>575</v>
      </c>
      <c r="B165" s="527" t="s">
        <v>584</v>
      </c>
      <c r="D165" s="558">
        <f>D149/(10^3)</f>
        <v>0</v>
      </c>
    </row>
    <row r="166" spans="1:7" hidden="1" outlineLevel="1">
      <c r="A166" s="546" t="s">
        <v>576</v>
      </c>
      <c r="B166" s="527" t="s">
        <v>584</v>
      </c>
      <c r="D166" s="558">
        <f>D150/(10^3)</f>
        <v>0</v>
      </c>
    </row>
    <row r="167" spans="1:7" s="579" customFormat="1" hidden="1" outlineLevel="1">
      <c r="A167" s="546" t="s">
        <v>620</v>
      </c>
      <c r="B167" s="527" t="s">
        <v>584</v>
      </c>
      <c r="D167" s="558">
        <f t="shared" ref="D167:D169" si="35">D151/(10^3)</f>
        <v>8.6280784413882139E-4</v>
      </c>
    </row>
    <row r="168" spans="1:7" s="579" customFormat="1" hidden="1" outlineLevel="1">
      <c r="A168" s="546" t="s">
        <v>621</v>
      </c>
      <c r="B168" s="527" t="s">
        <v>584</v>
      </c>
      <c r="D168" s="558">
        <f t="shared" si="35"/>
        <v>6.7698823433019436E-4</v>
      </c>
    </row>
    <row r="169" spans="1:7" s="579" customFormat="1" hidden="1" outlineLevel="1">
      <c r="A169" s="546" t="s">
        <v>622</v>
      </c>
      <c r="B169" s="527" t="s">
        <v>584</v>
      </c>
      <c r="D169" s="558">
        <f t="shared" si="35"/>
        <v>0</v>
      </c>
    </row>
    <row r="170" spans="1:7" s="579" customFormat="1" hidden="1" outlineLevel="1">
      <c r="A170" s="546"/>
      <c r="B170" s="527"/>
      <c r="D170" s="558"/>
    </row>
    <row r="171" spans="1:7" ht="18" hidden="1" outlineLevel="1">
      <c r="A171" s="545" t="s">
        <v>582</v>
      </c>
      <c r="D171" s="1" t="s">
        <v>282</v>
      </c>
      <c r="E171" s="189" t="s">
        <v>232</v>
      </c>
      <c r="F171" s="189" t="s">
        <v>682</v>
      </c>
      <c r="G171" s="189" t="s">
        <v>233</v>
      </c>
    </row>
    <row r="172" spans="1:7" s="579" customFormat="1" hidden="1" outlineLevel="1">
      <c r="A172" s="588" t="s">
        <v>624</v>
      </c>
      <c r="B172" s="527" t="s">
        <v>262</v>
      </c>
      <c r="D172" s="347" t="s">
        <v>648</v>
      </c>
      <c r="E172" s="597">
        <f>IF(Założenia!$D$53=Wstęp!$A$14,'Emisje WI trasa nowa'!F$37,0)</f>
        <v>0</v>
      </c>
      <c r="F172" s="597">
        <f>IF(Założenia!$D$53=Wstęp!$A$14,'Emisje WI trasa nowa'!G$37,0)</f>
        <v>0</v>
      </c>
      <c r="G172" s="597">
        <f>IF(Założenia!$D$53=Wstęp!$A$14,'Emisje WI trasa nowa'!H$37,0)</f>
        <v>0</v>
      </c>
    </row>
    <row r="173" spans="1:7" s="579" customFormat="1" hidden="1" outlineLevel="1">
      <c r="A173" s="588" t="s">
        <v>623</v>
      </c>
      <c r="B173" s="527" t="s">
        <v>262</v>
      </c>
      <c r="D173" s="347" t="s">
        <v>648</v>
      </c>
      <c r="E173" s="597">
        <f>IF(Założenia!$E$53=Wstęp!$A$14,'Emisje WI trasa nowa'!F$56,0)</f>
        <v>0</v>
      </c>
      <c r="F173" s="597">
        <f>IF(Założenia!$E$53=Wstęp!$A$14,'Emisje WI trasa nowa'!G$56,0)</f>
        <v>0</v>
      </c>
      <c r="G173" s="597">
        <f>IF(Założenia!$E$53=Wstęp!$A$14,'Emisje WI trasa nowa'!H$56,0)</f>
        <v>0</v>
      </c>
    </row>
    <row r="174" spans="1:7" s="579" customFormat="1" hidden="1" outlineLevel="1">
      <c r="A174" s="588" t="s">
        <v>625</v>
      </c>
      <c r="B174" s="527" t="s">
        <v>262</v>
      </c>
      <c r="D174" s="347" t="s">
        <v>648</v>
      </c>
      <c r="E174" s="597">
        <f>IF(Założenia!$F$53=Wstęp!$A$14,'Emisje WI trasa nowa'!F$75,0)</f>
        <v>0</v>
      </c>
      <c r="F174" s="597">
        <f>IF(Założenia!$F$53=Wstęp!$A$14,'Emisje WI trasa nowa'!G$75,0)</f>
        <v>0</v>
      </c>
      <c r="G174" s="597">
        <f>IF(Założenia!$F$53=Wstęp!$A$14,'Emisje WI trasa nowa'!H$75,0)</f>
        <v>0</v>
      </c>
    </row>
    <row r="175" spans="1:7" hidden="1" outlineLevel="1">
      <c r="A175" s="546" t="s">
        <v>568</v>
      </c>
      <c r="B175" s="527" t="s">
        <v>262</v>
      </c>
      <c r="D175" s="347" t="s">
        <v>648</v>
      </c>
      <c r="E175" s="581">
        <f>IF(Założenia!$D$55=Wstęp!$A$14,'Emisje WI trasa nowa'!F$94,0)</f>
        <v>0</v>
      </c>
      <c r="F175" s="581">
        <f>IF(Założenia!$D$55=Wstęp!$A$14,'Emisje WI trasa nowa'!G$94,0)</f>
        <v>0</v>
      </c>
      <c r="G175" s="581">
        <f>IF(Założenia!$D$55=Wstęp!$A$14,'Emisje WI trasa nowa'!H$94,0)</f>
        <v>0</v>
      </c>
    </row>
    <row r="176" spans="1:7" hidden="1" outlineLevel="1">
      <c r="A176" s="546" t="s">
        <v>569</v>
      </c>
      <c r="B176" s="527" t="s">
        <v>262</v>
      </c>
      <c r="D176" s="347" t="s">
        <v>648</v>
      </c>
      <c r="E176" s="581">
        <f>IF(Założenia!$E$55=Wstęp!$A$14,'Emisje WI trasa nowa'!F$114,0)</f>
        <v>0</v>
      </c>
      <c r="F176" s="581">
        <f>IF(Założenia!$E$55=Wstęp!$A$14,'Emisje WI trasa nowa'!G$114,0)</f>
        <v>0</v>
      </c>
      <c r="G176" s="581">
        <f>IF(Założenia!$E$55=Wstęp!$A$14,'Emisje WI trasa nowa'!H$114,0)</f>
        <v>0</v>
      </c>
    </row>
    <row r="177" spans="1:7" hidden="1" outlineLevel="1">
      <c r="A177" s="546" t="s">
        <v>570</v>
      </c>
      <c r="B177" s="527" t="s">
        <v>262</v>
      </c>
      <c r="D177" s="347" t="s">
        <v>648</v>
      </c>
      <c r="E177" s="581">
        <f>IF(Założenia!$F$55=Wstęp!$A$14,'Emisje WI trasa nowa'!F$134,0)</f>
        <v>0</v>
      </c>
      <c r="F177" s="581">
        <f>IF(Założenia!$F$55=Wstęp!$A$14,'Emisje WI trasa nowa'!G$134,0)</f>
        <v>0</v>
      </c>
      <c r="G177" s="581">
        <f>IF(Założenia!$F$55=Wstęp!$A$14,'Emisje WI trasa nowa'!H$134,0)</f>
        <v>0</v>
      </c>
    </row>
    <row r="178" spans="1:7" s="579" customFormat="1" hidden="1" outlineLevel="1">
      <c r="A178" s="546" t="s">
        <v>611</v>
      </c>
      <c r="B178" s="527" t="s">
        <v>262</v>
      </c>
      <c r="D178" s="347" t="s">
        <v>648</v>
      </c>
      <c r="E178" s="581">
        <f>IF(Założenia!$D$57=Wstęp!$A$14,'Emisje WI trasa nowa'!F$154,0)</f>
        <v>0</v>
      </c>
      <c r="F178" s="581">
        <f>IF(Założenia!$D$57=Wstęp!$A$14,'Emisje WI trasa nowa'!G$154,0)</f>
        <v>0</v>
      </c>
      <c r="G178" s="581">
        <f>IF(Założenia!$D$57=Wstęp!$A$14,'Emisje WI trasa nowa'!H$154,0)</f>
        <v>0</v>
      </c>
    </row>
    <row r="179" spans="1:7" s="579" customFormat="1" hidden="1" outlineLevel="1">
      <c r="A179" s="546" t="s">
        <v>612</v>
      </c>
      <c r="B179" s="527" t="s">
        <v>262</v>
      </c>
      <c r="D179" s="347" t="s">
        <v>648</v>
      </c>
      <c r="E179" s="581">
        <f>IF(Założenia!$E$57=Wstęp!$A$14,'Emisje WI trasa nowa'!F$172,0)</f>
        <v>0</v>
      </c>
      <c r="F179" s="581">
        <f>IF(Założenia!$E$57=Wstęp!$A$14,'Emisje WI trasa nowa'!G$172,0)</f>
        <v>0</v>
      </c>
      <c r="G179" s="581">
        <f>IF(Założenia!$E$57=Wstęp!$A$14,'Emisje WI trasa nowa'!H$172,0)</f>
        <v>0</v>
      </c>
    </row>
    <row r="180" spans="1:7" s="579" customFormat="1" hidden="1" outlineLevel="1">
      <c r="A180" s="546" t="s">
        <v>613</v>
      </c>
      <c r="B180" s="527" t="s">
        <v>262</v>
      </c>
      <c r="D180" s="347" t="s">
        <v>648</v>
      </c>
      <c r="E180" s="581">
        <f>IF(Założenia!$F$57=Wstęp!$A$14,'Emisje WI trasa nowa'!F$190,0)</f>
        <v>0</v>
      </c>
      <c r="F180" s="581">
        <f>IF(Założenia!$F$57=Wstęp!$A$14,'Emisje WI trasa nowa'!G$190,0)</f>
        <v>0</v>
      </c>
      <c r="G180" s="581">
        <f>IF(Założenia!$F$57=Wstęp!$A$14,'Emisje WI trasa nowa'!H$190,0)</f>
        <v>0</v>
      </c>
    </row>
    <row r="181" spans="1:7" hidden="1" outlineLevel="1">
      <c r="A181" s="546" t="s">
        <v>574</v>
      </c>
      <c r="B181" s="527" t="s">
        <v>262</v>
      </c>
      <c r="D181" s="581">
        <f>IF(Założenia!$D$59=Wstęp!$A$14,'Emisje WI trasa nowa'!E$205,0)</f>
        <v>0</v>
      </c>
      <c r="E181" s="581">
        <f>IF(Założenia!$D$59=Wstęp!$A$14,'Emisje WI trasa nowa'!F$205,0)</f>
        <v>0</v>
      </c>
      <c r="F181" s="581">
        <f>IF(Założenia!$D$59=Wstęp!$A$14,'Emisje WI trasa nowa'!G$205,0)</f>
        <v>0</v>
      </c>
      <c r="G181" s="581">
        <f>IF(Założenia!$D$59=Wstęp!$A$14,'Emisje WI trasa nowa'!H$205,0)</f>
        <v>0</v>
      </c>
    </row>
    <row r="182" spans="1:7" hidden="1" outlineLevel="1">
      <c r="A182" s="546" t="s">
        <v>575</v>
      </c>
      <c r="B182" s="527" t="s">
        <v>262</v>
      </c>
      <c r="D182" s="581">
        <f>IF(Założenia!$E$59=Wstęp!$A$14,'Emisje WI trasa nowa'!E$220,0)</f>
        <v>0</v>
      </c>
      <c r="E182" s="581">
        <f>IF(Założenia!$E$59=Wstęp!$A$14,'Emisje WI trasa nowa'!F$220,0)</f>
        <v>0</v>
      </c>
      <c r="F182" s="581">
        <f>IF(Założenia!$E$59=Wstęp!$A$14,'Emisje WI trasa nowa'!G$220,0)</f>
        <v>0</v>
      </c>
      <c r="G182" s="581">
        <f>IF(Założenia!$E$59=Wstęp!$A$14,'Emisje WI trasa nowa'!H$220,0)</f>
        <v>0</v>
      </c>
    </row>
    <row r="183" spans="1:7" hidden="1" outlineLevel="1">
      <c r="A183" s="546" t="s">
        <v>576</v>
      </c>
      <c r="B183" s="527" t="s">
        <v>262</v>
      </c>
      <c r="D183" s="581">
        <f>IF(Założenia!$F$59=Wstęp!$A$14,'Emisje WI trasa nowa'!E$235,0)</f>
        <v>0</v>
      </c>
      <c r="E183" s="581">
        <f>IF(Założenia!$F$59=Wstęp!$A$14,'Emisje WI trasa nowa'!F$235,0)</f>
        <v>0</v>
      </c>
      <c r="F183" s="581">
        <f>IF(Założenia!$F$59=Wstęp!$A$14,'Emisje WI trasa nowa'!G$235,0)</f>
        <v>0</v>
      </c>
      <c r="G183" s="581">
        <f>IF(Założenia!$F$59=Wstęp!$A$14,'Emisje WI trasa nowa'!H$235,0)</f>
        <v>0</v>
      </c>
    </row>
    <row r="184" spans="1:7" s="579" customFormat="1" hidden="1" outlineLevel="1">
      <c r="A184" s="546" t="s">
        <v>620</v>
      </c>
      <c r="B184" s="527" t="s">
        <v>262</v>
      </c>
      <c r="D184" s="581">
        <f>IF(Założenia!$D$61=Wstęp!$A$14,'Emisje WI trasa nowa'!E$275,0)</f>
        <v>0.45990000000000003</v>
      </c>
      <c r="E184" s="581">
        <f>IF(Założenia!$D$61=Wstęp!$A$14,'Emisje WI trasa nowa'!F$275,0)</f>
        <v>0.13453600000000004</v>
      </c>
      <c r="F184" s="581">
        <f>IF(Założenia!$D$61=Wstęp!$A$14,'Emisje WI trasa nowa'!G$275,0)</f>
        <v>0.91840000000000011</v>
      </c>
      <c r="G184" s="581">
        <f>IF(Założenia!$D$61=Wstęp!$A$14,'Emisje WI trasa nowa'!H$275,0)</f>
        <v>3.6100000000000007E-2</v>
      </c>
    </row>
    <row r="185" spans="1:7" s="579" customFormat="1" hidden="1" outlineLevel="1">
      <c r="A185" s="546" t="s">
        <v>621</v>
      </c>
      <c r="B185" s="527" t="s">
        <v>262</v>
      </c>
      <c r="D185" s="581">
        <f>IF(Założenia!$E$61=Wstęp!$A$14,'Emisje WI trasa nowa'!E$310,0)</f>
        <v>0.35769999999999996</v>
      </c>
      <c r="E185" s="581">
        <f>IF(Założenia!$E$61=Wstęp!$A$14,'Emisje WI trasa nowa'!F$310,0)</f>
        <v>0.10752800000000003</v>
      </c>
      <c r="F185" s="581">
        <f>IF(Założenia!$E$61=Wstęp!$A$14,'Emisje WI trasa nowa'!G$310,0)</f>
        <v>0.72320000000000007</v>
      </c>
      <c r="G185" s="581">
        <f>IF(Założenia!$E$61=Wstęp!$A$14,'Emisje WI trasa nowa'!H$310,0)</f>
        <v>2.8299999999999999E-2</v>
      </c>
    </row>
    <row r="186" spans="1:7" s="579" customFormat="1" hidden="1" outlineLevel="1">
      <c r="A186" s="546" t="s">
        <v>622</v>
      </c>
      <c r="B186" s="527" t="s">
        <v>262</v>
      </c>
      <c r="D186" s="581">
        <f>IF(Założenia!$F$61=Wstęp!$A$14,'Emisje WI trasa nowa'!E$345,0)</f>
        <v>0</v>
      </c>
      <c r="E186" s="581">
        <f>IF(Założenia!$F$61=Wstęp!$A$14,'Emisje WI trasa nowa'!F$345,0)</f>
        <v>0</v>
      </c>
      <c r="F186" s="581">
        <f>IF(Założenia!$F$61=Wstęp!$A$14,'Emisje WI trasa nowa'!G$345,0)</f>
        <v>0</v>
      </c>
      <c r="G186" s="581">
        <f>IF(Założenia!$F$61=Wstęp!$A$14,'Emisje WI trasa nowa'!H$345,0)</f>
        <v>0</v>
      </c>
    </row>
    <row r="187" spans="1:7" hidden="1" outlineLevel="1">
      <c r="A187" s="453" t="s">
        <v>583</v>
      </c>
    </row>
    <row r="188" spans="1:7" s="579" customFormat="1" hidden="1" outlineLevel="1">
      <c r="A188" s="588" t="s">
        <v>624</v>
      </c>
      <c r="B188" s="527" t="s">
        <v>584</v>
      </c>
      <c r="D188" s="550" t="s">
        <v>648</v>
      </c>
      <c r="E188" s="550">
        <f t="shared" ref="E188:G190" si="36">E172/(10^6)</f>
        <v>0</v>
      </c>
      <c r="F188" s="550">
        <f t="shared" si="36"/>
        <v>0</v>
      </c>
      <c r="G188" s="550">
        <f t="shared" si="36"/>
        <v>0</v>
      </c>
    </row>
    <row r="189" spans="1:7" s="579" customFormat="1" hidden="1" outlineLevel="1">
      <c r="A189" s="588" t="s">
        <v>623</v>
      </c>
      <c r="B189" s="527" t="s">
        <v>584</v>
      </c>
      <c r="D189" s="550" t="s">
        <v>648</v>
      </c>
      <c r="E189" s="550">
        <f t="shared" si="36"/>
        <v>0</v>
      </c>
      <c r="F189" s="550">
        <f t="shared" si="36"/>
        <v>0</v>
      </c>
      <c r="G189" s="550">
        <f t="shared" si="36"/>
        <v>0</v>
      </c>
    </row>
    <row r="190" spans="1:7" s="579" customFormat="1" hidden="1" outlineLevel="1">
      <c r="A190" s="588" t="s">
        <v>625</v>
      </c>
      <c r="B190" s="527" t="s">
        <v>584</v>
      </c>
      <c r="D190" s="550" t="s">
        <v>648</v>
      </c>
      <c r="E190" s="550">
        <f t="shared" si="36"/>
        <v>0</v>
      </c>
      <c r="F190" s="550">
        <f t="shared" si="36"/>
        <v>0</v>
      </c>
      <c r="G190" s="550">
        <f t="shared" si="36"/>
        <v>0</v>
      </c>
    </row>
    <row r="191" spans="1:7" hidden="1" outlineLevel="1">
      <c r="A191" s="546" t="s">
        <v>568</v>
      </c>
      <c r="B191" s="527" t="s">
        <v>584</v>
      </c>
      <c r="D191" s="550" t="s">
        <v>648</v>
      </c>
      <c r="E191" s="550">
        <f t="shared" ref="E191:G191" si="37">E175/(10^6)</f>
        <v>0</v>
      </c>
      <c r="F191" s="550">
        <f t="shared" si="37"/>
        <v>0</v>
      </c>
      <c r="G191" s="550">
        <f t="shared" si="37"/>
        <v>0</v>
      </c>
    </row>
    <row r="192" spans="1:7" hidden="1" outlineLevel="1">
      <c r="A192" s="546" t="s">
        <v>569</v>
      </c>
      <c r="B192" s="527" t="s">
        <v>584</v>
      </c>
      <c r="D192" s="550" t="s">
        <v>648</v>
      </c>
      <c r="E192" s="550">
        <f>E176/(10^6)</f>
        <v>0</v>
      </c>
      <c r="F192" s="550">
        <f>F176/(10^6)</f>
        <v>0</v>
      </c>
      <c r="G192" s="550">
        <f>G176/(10^6)</f>
        <v>0</v>
      </c>
    </row>
    <row r="193" spans="1:22" hidden="1" outlineLevel="1">
      <c r="A193" s="546" t="s">
        <v>570</v>
      </c>
      <c r="B193" s="527" t="s">
        <v>584</v>
      </c>
      <c r="D193" s="550" t="s">
        <v>648</v>
      </c>
      <c r="E193" s="550">
        <f t="shared" ref="E193:G193" si="38">E177/(10^6)</f>
        <v>0</v>
      </c>
      <c r="F193" s="550">
        <f t="shared" si="38"/>
        <v>0</v>
      </c>
      <c r="G193" s="550">
        <f t="shared" si="38"/>
        <v>0</v>
      </c>
    </row>
    <row r="194" spans="1:22" s="579" customFormat="1" hidden="1" outlineLevel="1">
      <c r="A194" s="546" t="s">
        <v>611</v>
      </c>
      <c r="B194" s="527" t="s">
        <v>584</v>
      </c>
      <c r="D194" s="550" t="s">
        <v>648</v>
      </c>
      <c r="E194" s="550">
        <f t="shared" ref="E194:G196" si="39">E178/(10^6)</f>
        <v>0</v>
      </c>
      <c r="F194" s="550">
        <f t="shared" si="39"/>
        <v>0</v>
      </c>
      <c r="G194" s="550">
        <f t="shared" si="39"/>
        <v>0</v>
      </c>
    </row>
    <row r="195" spans="1:22" s="579" customFormat="1" hidden="1" outlineLevel="1">
      <c r="A195" s="546" t="s">
        <v>612</v>
      </c>
      <c r="B195" s="527" t="s">
        <v>584</v>
      </c>
      <c r="D195" s="550" t="s">
        <v>648</v>
      </c>
      <c r="E195" s="550">
        <f t="shared" si="39"/>
        <v>0</v>
      </c>
      <c r="F195" s="550">
        <f t="shared" si="39"/>
        <v>0</v>
      </c>
      <c r="G195" s="550">
        <f t="shared" si="39"/>
        <v>0</v>
      </c>
    </row>
    <row r="196" spans="1:22" s="579" customFormat="1" hidden="1" outlineLevel="1">
      <c r="A196" s="546" t="s">
        <v>613</v>
      </c>
      <c r="B196" s="527" t="s">
        <v>584</v>
      </c>
      <c r="D196" s="550" t="s">
        <v>648</v>
      </c>
      <c r="E196" s="550">
        <f t="shared" si="39"/>
        <v>0</v>
      </c>
      <c r="F196" s="550">
        <f t="shared" si="39"/>
        <v>0</v>
      </c>
      <c r="G196" s="550">
        <f t="shared" si="39"/>
        <v>0</v>
      </c>
    </row>
    <row r="197" spans="1:22" hidden="1" outlineLevel="1">
      <c r="A197" s="546" t="s">
        <v>574</v>
      </c>
      <c r="B197" s="527" t="s">
        <v>584</v>
      </c>
      <c r="D197" s="550">
        <f t="shared" ref="D197:G198" si="40">D181/(10^6)</f>
        <v>0</v>
      </c>
      <c r="E197" s="550">
        <f t="shared" si="40"/>
        <v>0</v>
      </c>
      <c r="F197" s="550">
        <f t="shared" si="40"/>
        <v>0</v>
      </c>
      <c r="G197" s="550">
        <f t="shared" si="40"/>
        <v>0</v>
      </c>
    </row>
    <row r="198" spans="1:22" hidden="1" outlineLevel="1">
      <c r="A198" s="546" t="s">
        <v>575</v>
      </c>
      <c r="B198" s="527" t="s">
        <v>584</v>
      </c>
      <c r="D198" s="550">
        <f t="shared" si="40"/>
        <v>0</v>
      </c>
      <c r="E198" s="550">
        <f t="shared" si="40"/>
        <v>0</v>
      </c>
      <c r="F198" s="550">
        <f t="shared" si="40"/>
        <v>0</v>
      </c>
      <c r="G198" s="550">
        <f t="shared" si="40"/>
        <v>0</v>
      </c>
    </row>
    <row r="199" spans="1:22" hidden="1" outlineLevel="1">
      <c r="A199" s="546" t="s">
        <v>576</v>
      </c>
      <c r="B199" s="527" t="s">
        <v>584</v>
      </c>
      <c r="D199" s="550">
        <f>D183/(10^6)</f>
        <v>0</v>
      </c>
      <c r="E199" s="550">
        <f t="shared" ref="E199:G199" si="41">E183/(10^6)</f>
        <v>0</v>
      </c>
      <c r="F199" s="550">
        <f t="shared" si="41"/>
        <v>0</v>
      </c>
      <c r="G199" s="550">
        <f t="shared" si="41"/>
        <v>0</v>
      </c>
    </row>
    <row r="200" spans="1:22" s="579" customFormat="1" hidden="1" outlineLevel="1">
      <c r="A200" s="546" t="s">
        <v>620</v>
      </c>
      <c r="B200" s="527" t="s">
        <v>584</v>
      </c>
      <c r="D200" s="550">
        <f t="shared" ref="D200:G202" si="42">D184/(10^6)</f>
        <v>4.5990000000000004E-7</v>
      </c>
      <c r="E200" s="550">
        <f t="shared" si="42"/>
        <v>1.3453600000000003E-7</v>
      </c>
      <c r="F200" s="550">
        <f t="shared" si="42"/>
        <v>9.1840000000000007E-7</v>
      </c>
      <c r="G200" s="550">
        <f t="shared" si="42"/>
        <v>3.6100000000000006E-8</v>
      </c>
    </row>
    <row r="201" spans="1:22" s="579" customFormat="1" hidden="1" outlineLevel="1">
      <c r="A201" s="546" t="s">
        <v>621</v>
      </c>
      <c r="B201" s="527" t="s">
        <v>584</v>
      </c>
      <c r="D201" s="550">
        <f t="shared" si="42"/>
        <v>3.5769999999999998E-7</v>
      </c>
      <c r="E201" s="550">
        <f t="shared" si="42"/>
        <v>1.0752800000000002E-7</v>
      </c>
      <c r="F201" s="550">
        <f t="shared" si="42"/>
        <v>7.2320000000000002E-7</v>
      </c>
      <c r="G201" s="550">
        <f t="shared" si="42"/>
        <v>2.8299999999999999E-8</v>
      </c>
    </row>
    <row r="202" spans="1:22" s="579" customFormat="1" hidden="1" outlineLevel="1">
      <c r="A202" s="546" t="s">
        <v>622</v>
      </c>
      <c r="B202" s="527" t="s">
        <v>584</v>
      </c>
      <c r="D202" s="550">
        <f t="shared" si="42"/>
        <v>0</v>
      </c>
      <c r="E202" s="550">
        <f t="shared" si="42"/>
        <v>0</v>
      </c>
      <c r="F202" s="550">
        <f t="shared" si="42"/>
        <v>0</v>
      </c>
      <c r="G202" s="550">
        <f t="shared" si="42"/>
        <v>0</v>
      </c>
    </row>
    <row r="203" spans="1:22" hidden="1" outlineLevel="1"/>
    <row r="204" spans="1:22" ht="18" hidden="1" outlineLevel="1">
      <c r="A204" s="533" t="s">
        <v>683</v>
      </c>
      <c r="B204" s="527" t="s">
        <v>587</v>
      </c>
      <c r="E204" s="133">
        <f>E125</f>
        <v>487.60665354656209</v>
      </c>
      <c r="F204" s="133">
        <f t="shared" ref="F204:S204" si="43">F125</f>
        <v>573.06348973513491</v>
      </c>
      <c r="G204" s="133">
        <f t="shared" si="43"/>
        <v>658.52032592370756</v>
      </c>
      <c r="H204" s="133">
        <f t="shared" si="43"/>
        <v>743.97716211228033</v>
      </c>
      <c r="I204" s="133">
        <f t="shared" si="43"/>
        <v>829.43399830085309</v>
      </c>
      <c r="J204" s="133">
        <f t="shared" si="43"/>
        <v>914.89083448942586</v>
      </c>
      <c r="K204" s="133">
        <f t="shared" si="43"/>
        <v>1000.3476706779985</v>
      </c>
      <c r="L204" s="133">
        <f t="shared" si="43"/>
        <v>1085.8045068665713</v>
      </c>
      <c r="M204" s="133">
        <f t="shared" si="43"/>
        <v>1171.2613430551439</v>
      </c>
      <c r="N204" s="133">
        <f t="shared" si="43"/>
        <v>1256.7181792437168</v>
      </c>
      <c r="O204" s="133">
        <f t="shared" si="43"/>
        <v>1397.4706153190129</v>
      </c>
      <c r="P204" s="133">
        <f t="shared" si="43"/>
        <v>1538.2230513943093</v>
      </c>
      <c r="Q204" s="133">
        <f t="shared" si="43"/>
        <v>1678.9754874696057</v>
      </c>
      <c r="R204" s="133">
        <f t="shared" si="43"/>
        <v>1819.7279235449018</v>
      </c>
      <c r="S204" s="133">
        <f t="shared" si="43"/>
        <v>1960.480359620198</v>
      </c>
      <c r="T204" s="133">
        <f t="shared" ref="T204:V204" si="44">T125</f>
        <v>2096.2059229785195</v>
      </c>
      <c r="U204" s="133">
        <f t="shared" si="44"/>
        <v>2231.9314863368409</v>
      </c>
      <c r="V204" s="133">
        <f t="shared" si="44"/>
        <v>2367.6570496951622</v>
      </c>
    </row>
    <row r="205" spans="1:22" ht="18" hidden="1" outlineLevel="1">
      <c r="A205" s="533" t="s">
        <v>687</v>
      </c>
      <c r="B205" s="527" t="s">
        <v>587</v>
      </c>
      <c r="E205" s="133">
        <f>E126</f>
        <v>32513.914698948032</v>
      </c>
      <c r="F205" s="133">
        <f t="shared" ref="F205:S205" si="45">F126</f>
        <v>33554.14201675776</v>
      </c>
      <c r="G205" s="133">
        <f t="shared" si="45"/>
        <v>34470.72133979886</v>
      </c>
      <c r="H205" s="133">
        <f t="shared" si="45"/>
        <v>35362.032515645871</v>
      </c>
      <c r="I205" s="133">
        <f t="shared" si="45"/>
        <v>36309.991062725509</v>
      </c>
      <c r="J205" s="133">
        <f t="shared" si="45"/>
        <v>37259.668163041548</v>
      </c>
      <c r="K205" s="133">
        <f t="shared" si="45"/>
        <v>38239.785999352411</v>
      </c>
      <c r="L205" s="133">
        <f t="shared" si="45"/>
        <v>39220.714305819514</v>
      </c>
      <c r="M205" s="133">
        <f t="shared" si="45"/>
        <v>40201.047171775368</v>
      </c>
      <c r="N205" s="133">
        <f t="shared" si="45"/>
        <v>41179.289653652995</v>
      </c>
      <c r="O205" s="133">
        <f t="shared" si="45"/>
        <v>42187.860240388953</v>
      </c>
      <c r="P205" s="133">
        <f t="shared" si="45"/>
        <v>43193.537895998685</v>
      </c>
      <c r="Q205" s="133">
        <f t="shared" si="45"/>
        <v>44229.145495950113</v>
      </c>
      <c r="R205" s="133">
        <f t="shared" si="45"/>
        <v>45259.604558705418</v>
      </c>
      <c r="S205" s="133">
        <f t="shared" si="45"/>
        <v>46282.673032145314</v>
      </c>
      <c r="T205" s="133">
        <f t="shared" ref="T205:V205" si="46">T126</f>
        <v>47296.716416751842</v>
      </c>
      <c r="U205" s="133">
        <f t="shared" si="46"/>
        <v>48299.498037655263</v>
      </c>
      <c r="V205" s="133">
        <f t="shared" si="46"/>
        <v>49288.745853706576</v>
      </c>
    </row>
    <row r="206" spans="1:22" hidden="1" outlineLevel="1">
      <c r="A206" s="533" t="s">
        <v>585</v>
      </c>
      <c r="B206" s="527" t="s">
        <v>587</v>
      </c>
      <c r="E206" s="133">
        <f>E127</f>
        <v>2775.5780840565394</v>
      </c>
      <c r="F206" s="133">
        <f t="shared" ref="F206:S206" si="47">F127</f>
        <v>2864.3779770402962</v>
      </c>
      <c r="G206" s="133">
        <f t="shared" si="47"/>
        <v>2942.622553397463</v>
      </c>
      <c r="H206" s="133">
        <f t="shared" si="47"/>
        <v>3018.7100927990373</v>
      </c>
      <c r="I206" s="133">
        <f t="shared" si="47"/>
        <v>3099.6333834033967</v>
      </c>
      <c r="J206" s="133">
        <f t="shared" si="47"/>
        <v>3180.7033797718391</v>
      </c>
      <c r="K206" s="133">
        <f t="shared" si="47"/>
        <v>3264.3719755544739</v>
      </c>
      <c r="L206" s="133">
        <f t="shared" si="47"/>
        <v>3348.1097578138606</v>
      </c>
      <c r="M206" s="133">
        <f t="shared" si="47"/>
        <v>3431.7967097857018</v>
      </c>
      <c r="N206" s="133">
        <f t="shared" si="47"/>
        <v>3515.3052143362311</v>
      </c>
      <c r="O206" s="133">
        <f t="shared" si="47"/>
        <v>3601.4027034478368</v>
      </c>
      <c r="P206" s="133">
        <f t="shared" si="47"/>
        <v>3687.2532350242773</v>
      </c>
      <c r="Q206" s="133">
        <f t="shared" si="47"/>
        <v>3775.6587618493991</v>
      </c>
      <c r="R206" s="133">
        <f t="shared" si="47"/>
        <v>3863.6247794016813</v>
      </c>
      <c r="S206" s="133">
        <f t="shared" si="47"/>
        <v>3950.959892988014</v>
      </c>
      <c r="T206" s="133">
        <f t="shared" ref="T206:V206" si="48">T127</f>
        <v>4037.5245721617416</v>
      </c>
      <c r="U206" s="133">
        <f t="shared" si="48"/>
        <v>4123.1278812632536</v>
      </c>
      <c r="V206" s="133">
        <f t="shared" si="48"/>
        <v>4207.5758655603167</v>
      </c>
    </row>
    <row r="207" spans="1:22" ht="18" hidden="1" outlineLevel="1">
      <c r="A207" s="608" t="s">
        <v>688</v>
      </c>
      <c r="B207" s="527" t="s">
        <v>587</v>
      </c>
      <c r="E207" s="133">
        <f>E128</f>
        <v>46788.316274095952</v>
      </c>
      <c r="F207" s="133">
        <f t="shared" ref="F207:S207" si="49">F128</f>
        <v>48285.228755822143</v>
      </c>
      <c r="G207" s="133">
        <f t="shared" si="49"/>
        <v>49604.208757271525</v>
      </c>
      <c r="H207" s="133">
        <f t="shared" si="49"/>
        <v>50886.827278612349</v>
      </c>
      <c r="I207" s="133">
        <f t="shared" si="49"/>
        <v>52250.962748800121</v>
      </c>
      <c r="J207" s="133">
        <f t="shared" si="49"/>
        <v>53617.571259011005</v>
      </c>
      <c r="K207" s="133">
        <f t="shared" si="49"/>
        <v>55027.984730775424</v>
      </c>
      <c r="L207" s="133">
        <f t="shared" si="49"/>
        <v>56439.564488862219</v>
      </c>
      <c r="M207" s="133">
        <f t="shared" si="49"/>
        <v>57850.287393530394</v>
      </c>
      <c r="N207" s="133">
        <f t="shared" si="49"/>
        <v>59258.00218452503</v>
      </c>
      <c r="O207" s="133">
        <f t="shared" si="49"/>
        <v>60709.359858120675</v>
      </c>
      <c r="P207" s="133">
        <f t="shared" si="49"/>
        <v>62156.55453326639</v>
      </c>
      <c r="Q207" s="133">
        <f t="shared" si="49"/>
        <v>63646.819128318442</v>
      </c>
      <c r="R207" s="133">
        <f t="shared" si="49"/>
        <v>65129.674852771204</v>
      </c>
      <c r="S207" s="133">
        <f t="shared" si="49"/>
        <v>66601.895338940813</v>
      </c>
      <c r="T207" s="133">
        <f t="shared" ref="T207:V207" si="50">T128</f>
        <v>68061.128502155072</v>
      </c>
      <c r="U207" s="133">
        <f t="shared" si="50"/>
        <v>69504.155712723412</v>
      </c>
      <c r="V207" s="133">
        <f t="shared" si="50"/>
        <v>70927.707448016765</v>
      </c>
    </row>
    <row r="208" spans="1:22" hidden="1" outlineLevel="1">
      <c r="A208" s="608" t="s">
        <v>586</v>
      </c>
      <c r="B208" s="527" t="s">
        <v>587</v>
      </c>
      <c r="E208" s="133">
        <f>E129</f>
        <v>304124.05578162376</v>
      </c>
      <c r="F208" s="133">
        <f t="shared" ref="F208:S208" si="51">F129</f>
        <v>313853.98691284395</v>
      </c>
      <c r="G208" s="133">
        <f t="shared" si="51"/>
        <v>322427.35692226497</v>
      </c>
      <c r="H208" s="133">
        <f t="shared" si="51"/>
        <v>330764.37731098029</v>
      </c>
      <c r="I208" s="133">
        <f t="shared" si="51"/>
        <v>339631.25786720088</v>
      </c>
      <c r="J208" s="133">
        <f t="shared" si="51"/>
        <v>348514.21318357158</v>
      </c>
      <c r="K208" s="133">
        <f t="shared" si="51"/>
        <v>357681.90075004025</v>
      </c>
      <c r="L208" s="133">
        <f t="shared" si="51"/>
        <v>366857.16917760449</v>
      </c>
      <c r="M208" s="133">
        <f t="shared" si="51"/>
        <v>376026.86805794766</v>
      </c>
      <c r="N208" s="133">
        <f t="shared" si="51"/>
        <v>385177.01419941284</v>
      </c>
      <c r="O208" s="133">
        <f t="shared" si="51"/>
        <v>394610.83907778445</v>
      </c>
      <c r="P208" s="133">
        <f t="shared" si="51"/>
        <v>404017.6044662316</v>
      </c>
      <c r="Q208" s="133">
        <f t="shared" si="51"/>
        <v>413704.32433406997</v>
      </c>
      <c r="R208" s="133">
        <f t="shared" si="51"/>
        <v>423342.88654301292</v>
      </c>
      <c r="S208" s="133">
        <f t="shared" si="51"/>
        <v>432912.31970311538</v>
      </c>
      <c r="T208" s="133">
        <f t="shared" ref="T208:V208" si="52">T129</f>
        <v>442397.33526400814</v>
      </c>
      <c r="U208" s="133">
        <f t="shared" si="52"/>
        <v>451777.01213270234</v>
      </c>
      <c r="V208" s="133">
        <f t="shared" si="52"/>
        <v>461030.09841210913</v>
      </c>
    </row>
    <row r="209" spans="1:22" hidden="1" outlineLevel="1">
      <c r="C209" s="608" t="s">
        <v>689</v>
      </c>
      <c r="E209" s="133"/>
      <c r="T209" s="618"/>
      <c r="U209" s="618"/>
      <c r="V209" s="618"/>
    </row>
    <row r="210" spans="1:22" ht="18" hidden="1" outlineLevel="1">
      <c r="A210" s="608" t="s">
        <v>685</v>
      </c>
      <c r="B210" s="527" t="s">
        <v>591</v>
      </c>
      <c r="C210" s="551">
        <f>SUM(E210:S210)</f>
        <v>2365.4400006461115</v>
      </c>
      <c r="E210" s="133">
        <f>SUMPRODUCT($D$155:$D$169,Założenia!E$118:E$132)</f>
        <v>157.69600004307412</v>
      </c>
      <c r="F210" s="133">
        <f>SUMPRODUCT($D$155:$D$169,Założenia!F$118:F$132)</f>
        <v>157.69600004307412</v>
      </c>
      <c r="G210" s="133">
        <f>SUMPRODUCT($D$155:$D$169,Założenia!G$118:G$132)</f>
        <v>157.69600004307412</v>
      </c>
      <c r="H210" s="133">
        <f>SUMPRODUCT($D$155:$D$169,Założenia!H$118:H$132)</f>
        <v>157.69600004307412</v>
      </c>
      <c r="I210" s="133">
        <f>SUMPRODUCT($D$155:$D$169,Założenia!I$118:I$132)</f>
        <v>157.69600004307412</v>
      </c>
      <c r="J210" s="133">
        <f>SUMPRODUCT($D$155:$D$169,Założenia!J$118:J$132)</f>
        <v>157.69600004307412</v>
      </c>
      <c r="K210" s="133">
        <f>SUMPRODUCT($D$155:$D$169,Założenia!K$118:K$132)</f>
        <v>157.69600004307412</v>
      </c>
      <c r="L210" s="133">
        <f>SUMPRODUCT($D$155:$D$169,Założenia!L$118:L$132)</f>
        <v>157.69600004307412</v>
      </c>
      <c r="M210" s="133">
        <f>SUMPRODUCT($D$155:$D$169,Założenia!M$118:M$132)</f>
        <v>157.69600004307412</v>
      </c>
      <c r="N210" s="133">
        <f>SUMPRODUCT($D$155:$D$169,Założenia!N$118:N$132)</f>
        <v>157.69600004307412</v>
      </c>
      <c r="O210" s="133">
        <f>SUMPRODUCT($D$155:$D$169,Założenia!O$118:O$132)</f>
        <v>157.69600004307412</v>
      </c>
      <c r="P210" s="133">
        <f>SUMPRODUCT($D$155:$D$169,Założenia!P$118:P$132)</f>
        <v>157.69600004307412</v>
      </c>
      <c r="Q210" s="133">
        <f>SUMPRODUCT($D$155:$D$169,Założenia!Q$118:Q$132)</f>
        <v>157.69600004307412</v>
      </c>
      <c r="R210" s="133">
        <f>SUMPRODUCT($D$155:$D$169,Założenia!R$118:R$132)</f>
        <v>157.69600004307412</v>
      </c>
      <c r="S210" s="133">
        <f>SUMPRODUCT($D$155:$D$169,Założenia!S$118:S$132)</f>
        <v>157.69600004307412</v>
      </c>
      <c r="T210" s="133">
        <f>SUMPRODUCT($D$155:$D$169,Założenia!T$118:T$132)</f>
        <v>0</v>
      </c>
      <c r="U210" s="133">
        <f>SUMPRODUCT($D$155:$D$169,Założenia!U$118:U$132)</f>
        <v>0</v>
      </c>
      <c r="V210" s="133">
        <f>SUMPRODUCT($D$155:$D$169,Założenia!V$118:V$132)</f>
        <v>0</v>
      </c>
    </row>
    <row r="211" spans="1:22" ht="18" hidden="1" outlineLevel="1">
      <c r="A211" s="1" t="s">
        <v>686</v>
      </c>
      <c r="B211" s="527" t="s">
        <v>590</v>
      </c>
      <c r="C211" s="551">
        <f>SUM(E211:S211)</f>
        <v>2699203.8372557922</v>
      </c>
      <c r="E211" s="133">
        <f>E$210*E$204</f>
        <v>76893.61885868189</v>
      </c>
      <c r="F211" s="133">
        <f t="shared" ref="F211:V211" si="53">F$210*F$204</f>
        <v>90369.820101956037</v>
      </c>
      <c r="G211" s="133">
        <f t="shared" si="53"/>
        <v>103846.02134523017</v>
      </c>
      <c r="H211" s="133">
        <f t="shared" si="53"/>
        <v>117322.22258850432</v>
      </c>
      <c r="I211" s="133">
        <f t="shared" si="53"/>
        <v>130798.42383177848</v>
      </c>
      <c r="J211" s="133">
        <f t="shared" si="53"/>
        <v>144274.62507505261</v>
      </c>
      <c r="K211" s="133">
        <f t="shared" si="53"/>
        <v>157750.82631832676</v>
      </c>
      <c r="L211" s="133">
        <f t="shared" si="53"/>
        <v>171227.0275616009</v>
      </c>
      <c r="M211" s="133">
        <f t="shared" si="53"/>
        <v>184703.22880487502</v>
      </c>
      <c r="N211" s="133">
        <f t="shared" si="53"/>
        <v>198179.4300481492</v>
      </c>
      <c r="O211" s="133">
        <f t="shared" si="53"/>
        <v>220375.52621354189</v>
      </c>
      <c r="P211" s="133">
        <f t="shared" si="53"/>
        <v>242571.62237893461</v>
      </c>
      <c r="Q211" s="133">
        <f t="shared" si="53"/>
        <v>264767.71854432736</v>
      </c>
      <c r="R211" s="133">
        <f t="shared" si="53"/>
        <v>286963.81470972003</v>
      </c>
      <c r="S211" s="133">
        <f t="shared" si="53"/>
        <v>309159.91087511269</v>
      </c>
      <c r="T211" s="133">
        <f t="shared" si="53"/>
        <v>0</v>
      </c>
      <c r="U211" s="133">
        <f t="shared" si="53"/>
        <v>0</v>
      </c>
      <c r="V211" s="133">
        <f t="shared" si="53"/>
        <v>0</v>
      </c>
    </row>
    <row r="212" spans="1:22" hidden="1" outlineLevel="1">
      <c r="A212" s="1" t="s">
        <v>592</v>
      </c>
      <c r="B212" s="527" t="s">
        <v>590</v>
      </c>
      <c r="C212" s="551">
        <f>SUM(E212:S212)</f>
        <v>229573.54702774476</v>
      </c>
      <c r="E212" s="133">
        <f>SUMPRODUCT($D$188:$D$202,Założenia!E$118:E$132)*E$205+SUMPRODUCT($E$188:$E$202,Założenia!E$118:E$132)*E$206+SUMPRODUCT($F$188:$F$202,Założenia!E$118:E$132)*E$207+SUMPRODUCT($G$188:$G$202,Założenia!E$118:E$132)*E$208</f>
        <v>12662.915975247684</v>
      </c>
      <c r="F212" s="133">
        <f>SUMPRODUCT($D$188:$D$202,Założenia!F$118:F$132)*F$205+SUMPRODUCT($E$188:$E$202,Założenia!F$118:F$132)*F$206+SUMPRODUCT($F$188:$F$202,Założenia!F$118:F$132)*F$207+SUMPRODUCT($G$188:$G$202,Założenia!F$118:F$132)*F$208</f>
        <v>13068.044402339487</v>
      </c>
      <c r="G212" s="133">
        <f>SUMPRODUCT($D$188:$D$202,Założenia!G$118:G$132)*G$205+SUMPRODUCT($E$188:$E$202,Założenia!G$118:G$132)*G$206+SUMPRODUCT($F$188:$F$202,Założenia!G$118:G$132)*G$207+SUMPRODUCT($G$188:$G$202,Założenia!G$118:G$132)*G$208</f>
        <v>13425.01670357685</v>
      </c>
      <c r="H212" s="133">
        <f>SUMPRODUCT($D$188:$D$202,Założenia!H$118:H$132)*H$205+SUMPRODUCT($E$188:$E$202,Założenia!H$118:H$132)*H$206+SUMPRODUCT($F$188:$F$202,Założenia!H$118:H$132)*H$207+SUMPRODUCT($G$188:$G$202,Założenia!H$118:H$132)*H$208</f>
        <v>13772.148035871178</v>
      </c>
      <c r="I212" s="133">
        <f>SUMPRODUCT($D$188:$D$202,Założenia!I$118:I$132)*I$205+SUMPRODUCT($E$188:$E$202,Założenia!I$118:I$132)*I$206+SUMPRODUCT($F$188:$F$202,Założenia!I$118:I$132)*I$207+SUMPRODUCT($G$188:$G$202,Założenia!I$118:I$132)*I$208</f>
        <v>14141.341334827444</v>
      </c>
      <c r="J212" s="133">
        <f>SUMPRODUCT($D$188:$D$202,Założenia!J$118:J$132)*J$205+SUMPRODUCT($E$188:$E$202,Założenia!J$118:J$132)*J$206+SUMPRODUCT($F$188:$F$202,Założenia!J$118:J$132)*J$207+SUMPRODUCT($G$188:$G$202,Założenia!J$118:J$132)*J$208</f>
        <v>14511.203943998526</v>
      </c>
      <c r="K212" s="133">
        <f>SUMPRODUCT($D$188:$D$202,Założenia!K$118:K$132)*K$205+SUMPRODUCT($E$188:$E$202,Założenia!K$118:K$132)*K$206+SUMPRODUCT($F$188:$F$202,Założenia!K$118:K$132)*K$207+SUMPRODUCT($G$188:$G$202,Założenia!K$118:K$132)*K$208</f>
        <v>14892.922045985415</v>
      </c>
      <c r="L212" s="133">
        <f>SUMPRODUCT($D$188:$D$202,Założenia!L$118:L$132)*L$205+SUMPRODUCT($E$188:$E$202,Założenia!L$118:L$132)*L$206+SUMPRODUCT($F$188:$F$202,Założenia!L$118:L$132)*L$207+SUMPRODUCT($G$188:$G$202,Założenia!L$118:L$132)*L$208</f>
        <v>15274.955794844846</v>
      </c>
      <c r="M212" s="133">
        <f>SUMPRODUCT($D$188:$D$202,Założenia!M$118:M$132)*M$205+SUMPRODUCT($E$188:$E$202,Założenia!M$118:M$132)*M$206+SUMPRODUCT($F$188:$F$202,Założenia!M$118:M$132)*M$207+SUMPRODUCT($G$188:$G$202,Założenia!M$118:M$132)*M$208</f>
        <v>15656.757642586495</v>
      </c>
      <c r="N212" s="133">
        <f>SUMPRODUCT($D$188:$D$202,Założenia!N$118:N$132)*N$205+SUMPRODUCT($E$188:$E$202,Założenia!N$118:N$132)*N$206+SUMPRODUCT($F$188:$F$202,Założenia!N$118:N$132)*N$207+SUMPRODUCT($G$188:$G$202,Założenia!N$118:N$132)*N$208</f>
        <v>16037.745366338964</v>
      </c>
      <c r="O212" s="133">
        <f>SUMPRODUCT($D$188:$D$202,Założenia!O$118:O$132)*O$205+SUMPRODUCT($E$188:$E$202,Założenia!O$118:O$132)*O$206+SUMPRODUCT($F$188:$F$202,Założenia!O$118:O$132)*O$207+SUMPRODUCT($G$188:$G$202,Założenia!O$118:O$132)*O$208</f>
        <v>16430.54471742285</v>
      </c>
      <c r="P212" s="133">
        <f>SUMPRODUCT($D$188:$D$202,Założenia!P$118:P$132)*P$205+SUMPRODUCT($E$188:$E$202,Założenia!P$118:P$132)*P$206+SUMPRODUCT($F$188:$F$202,Założenia!P$118:P$132)*P$207+SUMPRODUCT($G$188:$G$202,Założenia!P$118:P$132)*P$208</f>
        <v>16822.217383390143</v>
      </c>
      <c r="Q212" s="133">
        <f>SUMPRODUCT($D$188:$D$202,Założenia!Q$118:Q$132)*Q$205+SUMPRODUCT($E$188:$E$202,Założenia!Q$118:Q$132)*Q$206+SUMPRODUCT($F$188:$F$202,Założenia!Q$118:Q$132)*Q$207+SUMPRODUCT($G$188:$G$202,Założenia!Q$118:Q$132)*Q$208</f>
        <v>17225.546608521472</v>
      </c>
      <c r="R212" s="133">
        <f>SUMPRODUCT($D$188:$D$202,Założenia!R$118:R$132)*R$205+SUMPRODUCT($E$188:$E$202,Założenia!R$118:R$132)*R$206+SUMPRODUCT($F$188:$F$202,Założenia!R$118:R$132)*R$207+SUMPRODUCT($G$188:$G$202,Założenia!R$118:R$132)*R$208</f>
        <v>17626.870676952556</v>
      </c>
      <c r="S212" s="133">
        <f>SUMPRODUCT($D$188:$D$202,Założenia!S$118:S$132)*S$205+SUMPRODUCT($E$188:$E$202,Założenia!S$118:S$132)*S$206+SUMPRODUCT($F$188:$F$202,Założenia!S$118:S$132)*S$207+SUMPRODUCT($G$188:$G$202,Założenia!S$118:S$132)*S$208</f>
        <v>18025.316395840826</v>
      </c>
      <c r="T212" s="133">
        <f>SUMPRODUCT($D$188:$D$202,Założenia!T$118:T$132)*T$205+SUMPRODUCT($E$188:$E$202,Założenia!T$118:T$132)*T$206+SUMPRODUCT($F$188:$F$202,Założenia!T$118:T$132)*T$207+SUMPRODUCT($G$188:$G$202,Założenia!T$118:T$132)*T$208</f>
        <v>0</v>
      </c>
      <c r="U212" s="133">
        <f>SUMPRODUCT($D$188:$D$202,Założenia!U$118:U$132)*U$205+SUMPRODUCT($E$188:$E$202,Założenia!U$118:U$132)*U$206+SUMPRODUCT($F$188:$F$202,Założenia!U$118:U$132)*U$207+SUMPRODUCT($G$188:$G$202,Założenia!U$118:U$132)*U$208</f>
        <v>0</v>
      </c>
      <c r="V212" s="133">
        <f>SUMPRODUCT($D$188:$D$202,Założenia!V$118:V$132)*V$205+SUMPRODUCT($E$188:$E$202,Założenia!V$118:V$132)*V$206+SUMPRODUCT($F$188:$F$202,Założenia!V$118:V$132)*V$207+SUMPRODUCT($G$188:$G$202,Założenia!V$118:V$132)*V$208</f>
        <v>0</v>
      </c>
    </row>
    <row r="213" spans="1:22" hidden="1" outlineLevel="1">
      <c r="A213" s="1" t="s">
        <v>595</v>
      </c>
      <c r="B213" s="527" t="s">
        <v>590</v>
      </c>
      <c r="C213" s="559">
        <f>SUM(E213:S213)</f>
        <v>2223218.035127122</v>
      </c>
      <c r="E213" s="609">
        <f>(E211+E212)*Założenia!E11</f>
        <v>86948.092071776293</v>
      </c>
      <c r="F213" s="609">
        <f>(F211+F212)*Założenia!F11</f>
        <v>97500.107931280538</v>
      </c>
      <c r="G213" s="609">
        <f>(G211+G212)*Założenia!G11</f>
        <v>107319.61235405278</v>
      </c>
      <c r="H213" s="609">
        <f>(H211+H212)*Założenia!H11</f>
        <v>116475.6503544166</v>
      </c>
      <c r="I213" s="609">
        <f>(I211+I212)*Założenia!I11</f>
        <v>125026.31463929213</v>
      </c>
      <c r="J213" s="609">
        <f>(J211+J212)*Założenia!J11</f>
        <v>132980.63198791788</v>
      </c>
      <c r="K213" s="609">
        <f>(K211+K212)*Założenia!K11</f>
        <v>140375.16628152024</v>
      </c>
      <c r="L213" s="609">
        <f>(L211+L212)*Założenia!L11</f>
        <v>147226.38787944222</v>
      </c>
      <c r="M213" s="609">
        <f>(M211+M212)*Założenia!M11</f>
        <v>153559.24610547684</v>
      </c>
      <c r="N213" s="609">
        <f>(N211+N212)*Założenia!N11</f>
        <v>159397.69669228498</v>
      </c>
      <c r="O213" s="609">
        <f>(O211+O212)*Założenia!O11</f>
        <v>171073.74406828461</v>
      </c>
      <c r="P213" s="609">
        <f>(P211+P212)*Założenia!P11</f>
        <v>181933.62025529463</v>
      </c>
      <c r="Q213" s="609">
        <f>(Q211+Q212)*Założenia!Q11</f>
        <v>192023.69177488395</v>
      </c>
      <c r="R213" s="609">
        <f>(R211+R212)*Założenia!R11</f>
        <v>201370.32559562632</v>
      </c>
      <c r="S213" s="609">
        <f>(S211+S212)*Założenia!S11</f>
        <v>210007.74713557187</v>
      </c>
      <c r="T213" s="609">
        <f>(T211+T212)*Założenia!T11</f>
        <v>0</v>
      </c>
      <c r="U213" s="609">
        <f>(U211+U212)*Założenia!U11</f>
        <v>0</v>
      </c>
      <c r="V213" s="609">
        <f>(V211+V212)*Założenia!V11</f>
        <v>0</v>
      </c>
    </row>
    <row r="214" spans="1:22" collapsed="1">
      <c r="C214" s="560"/>
    </row>
    <row r="215" spans="1:22" hidden="1"/>
  </sheetData>
  <mergeCells count="3">
    <mergeCell ref="C3:E5"/>
    <mergeCell ref="A4:A5"/>
    <mergeCell ref="B4: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04"/>
  <sheetViews>
    <sheetView workbookViewId="0">
      <pane xSplit="1" ySplit="2" topLeftCell="P3" activePane="bottomRight" state="frozen"/>
      <selection activeCell="C3" sqref="C3"/>
      <selection pane="topRight" activeCell="C3" sqref="C3"/>
      <selection pane="bottomLeft" activeCell="C3" sqref="C3"/>
      <selection pane="bottomRight" activeCell="P3" sqref="P3"/>
    </sheetView>
  </sheetViews>
  <sheetFormatPr defaultColWidth="0" defaultRowHeight="15" zeroHeight="1" outlineLevelCol="1"/>
  <cols>
    <col min="1" max="1" width="67" customWidth="1"/>
    <col min="2" max="15" width="12.42578125" hidden="1" customWidth="1" outlineLevel="1"/>
    <col min="16" max="16" width="12.42578125" bestFit="1" customWidth="1" collapsed="1"/>
    <col min="17" max="61" width="12.42578125" bestFit="1" customWidth="1"/>
    <col min="62" max="62" width="9.140625" customWidth="1"/>
    <col min="63" max="16384" width="9.140625" hidden="1"/>
  </cols>
  <sheetData>
    <row r="1" spans="1:61">
      <c r="A1" s="409" t="s">
        <v>322</v>
      </c>
      <c r="B1" s="41">
        <v>2001</v>
      </c>
      <c r="C1" s="41">
        <f>B1+1</f>
        <v>2002</v>
      </c>
      <c r="D1" s="41">
        <f t="shared" ref="D1:BI1" si="0">C1+1</f>
        <v>2003</v>
      </c>
      <c r="E1" s="41">
        <f t="shared" si="0"/>
        <v>2004</v>
      </c>
      <c r="F1" s="41">
        <f t="shared" si="0"/>
        <v>2005</v>
      </c>
      <c r="G1" s="41">
        <f t="shared" si="0"/>
        <v>2006</v>
      </c>
      <c r="H1" s="41">
        <f t="shared" si="0"/>
        <v>2007</v>
      </c>
      <c r="I1" s="41">
        <f t="shared" si="0"/>
        <v>2008</v>
      </c>
      <c r="J1" s="41">
        <f t="shared" si="0"/>
        <v>2009</v>
      </c>
      <c r="K1" s="41">
        <f t="shared" si="0"/>
        <v>2010</v>
      </c>
      <c r="L1" s="41">
        <f t="shared" si="0"/>
        <v>2011</v>
      </c>
      <c r="M1" s="41">
        <f t="shared" si="0"/>
        <v>2012</v>
      </c>
      <c r="N1" s="41">
        <f t="shared" si="0"/>
        <v>2013</v>
      </c>
      <c r="O1" s="41">
        <f t="shared" si="0"/>
        <v>2014</v>
      </c>
      <c r="P1" s="41">
        <f t="shared" si="0"/>
        <v>2015</v>
      </c>
      <c r="Q1" s="41">
        <f t="shared" si="0"/>
        <v>2016</v>
      </c>
      <c r="R1" s="41">
        <f t="shared" si="0"/>
        <v>2017</v>
      </c>
      <c r="S1" s="41">
        <f t="shared" si="0"/>
        <v>2018</v>
      </c>
      <c r="T1" s="41">
        <f t="shared" si="0"/>
        <v>2019</v>
      </c>
      <c r="U1" s="41">
        <f t="shared" si="0"/>
        <v>2020</v>
      </c>
      <c r="V1" s="41">
        <f t="shared" si="0"/>
        <v>2021</v>
      </c>
      <c r="W1" s="41">
        <f t="shared" si="0"/>
        <v>2022</v>
      </c>
      <c r="X1" s="41">
        <f t="shared" si="0"/>
        <v>2023</v>
      </c>
      <c r="Y1" s="41">
        <f t="shared" si="0"/>
        <v>2024</v>
      </c>
      <c r="Z1" s="41">
        <f t="shared" si="0"/>
        <v>2025</v>
      </c>
      <c r="AA1" s="41">
        <f t="shared" si="0"/>
        <v>2026</v>
      </c>
      <c r="AB1" s="41">
        <f t="shared" si="0"/>
        <v>2027</v>
      </c>
      <c r="AC1" s="41">
        <f t="shared" si="0"/>
        <v>2028</v>
      </c>
      <c r="AD1" s="41">
        <f t="shared" si="0"/>
        <v>2029</v>
      </c>
      <c r="AE1" s="41">
        <f t="shared" si="0"/>
        <v>2030</v>
      </c>
      <c r="AF1" s="41">
        <f t="shared" si="0"/>
        <v>2031</v>
      </c>
      <c r="AG1" s="41">
        <f t="shared" si="0"/>
        <v>2032</v>
      </c>
      <c r="AH1" s="41">
        <f t="shared" si="0"/>
        <v>2033</v>
      </c>
      <c r="AI1" s="41">
        <f t="shared" si="0"/>
        <v>2034</v>
      </c>
      <c r="AJ1" s="41">
        <f t="shared" si="0"/>
        <v>2035</v>
      </c>
      <c r="AK1" s="41">
        <f t="shared" si="0"/>
        <v>2036</v>
      </c>
      <c r="AL1" s="41">
        <f t="shared" si="0"/>
        <v>2037</v>
      </c>
      <c r="AM1" s="41">
        <f t="shared" si="0"/>
        <v>2038</v>
      </c>
      <c r="AN1" s="41">
        <f t="shared" si="0"/>
        <v>2039</v>
      </c>
      <c r="AO1" s="41">
        <f t="shared" si="0"/>
        <v>2040</v>
      </c>
      <c r="AP1" s="41">
        <f t="shared" si="0"/>
        <v>2041</v>
      </c>
      <c r="AQ1" s="41">
        <f t="shared" si="0"/>
        <v>2042</v>
      </c>
      <c r="AR1" s="41">
        <f t="shared" si="0"/>
        <v>2043</v>
      </c>
      <c r="AS1" s="41">
        <f t="shared" si="0"/>
        <v>2044</v>
      </c>
      <c r="AT1" s="41">
        <f t="shared" si="0"/>
        <v>2045</v>
      </c>
      <c r="AU1" s="41">
        <f t="shared" si="0"/>
        <v>2046</v>
      </c>
      <c r="AV1" s="41">
        <f t="shared" si="0"/>
        <v>2047</v>
      </c>
      <c r="AW1" s="41">
        <f t="shared" si="0"/>
        <v>2048</v>
      </c>
      <c r="AX1" s="41">
        <f t="shared" si="0"/>
        <v>2049</v>
      </c>
      <c r="AY1" s="41">
        <f t="shared" si="0"/>
        <v>2050</v>
      </c>
      <c r="AZ1" s="41">
        <f t="shared" si="0"/>
        <v>2051</v>
      </c>
      <c r="BA1" s="41">
        <f t="shared" si="0"/>
        <v>2052</v>
      </c>
      <c r="BB1" s="41">
        <f t="shared" si="0"/>
        <v>2053</v>
      </c>
      <c r="BC1" s="41">
        <f t="shared" si="0"/>
        <v>2054</v>
      </c>
      <c r="BD1" s="41">
        <f t="shared" si="0"/>
        <v>2055</v>
      </c>
      <c r="BE1" s="41">
        <f t="shared" si="0"/>
        <v>2056</v>
      </c>
      <c r="BF1" s="41">
        <f t="shared" si="0"/>
        <v>2057</v>
      </c>
      <c r="BG1" s="41">
        <f t="shared" si="0"/>
        <v>2058</v>
      </c>
      <c r="BH1" s="41">
        <f t="shared" si="0"/>
        <v>2059</v>
      </c>
      <c r="BI1" s="41">
        <f t="shared" si="0"/>
        <v>2060</v>
      </c>
    </row>
    <row r="2" spans="1:61">
      <c r="A2" t="s">
        <v>323</v>
      </c>
      <c r="P2" s="81"/>
      <c r="Q2" s="81"/>
      <c r="R2" s="81"/>
      <c r="S2" s="81"/>
      <c r="T2" s="81"/>
      <c r="U2" s="81"/>
      <c r="V2" s="81"/>
      <c r="W2" s="81"/>
    </row>
    <row r="3" spans="1:61">
      <c r="T3" s="415"/>
      <c r="U3" s="454"/>
      <c r="V3" s="58"/>
      <c r="W3" s="59"/>
    </row>
    <row r="4" spans="1:61" ht="15.75">
      <c r="A4" s="71" t="s">
        <v>24</v>
      </c>
      <c r="B4" s="71"/>
      <c r="C4" s="71"/>
      <c r="D4" s="71"/>
      <c r="E4" s="71"/>
      <c r="F4" s="71"/>
      <c r="G4" s="71"/>
      <c r="H4" s="71"/>
      <c r="I4" s="71"/>
      <c r="J4" s="71"/>
      <c r="K4" s="71"/>
      <c r="L4" s="71"/>
      <c r="M4" s="71"/>
      <c r="N4" s="71"/>
      <c r="O4" s="71"/>
      <c r="T4" s="415"/>
      <c r="U4" s="454"/>
      <c r="V4" s="503"/>
      <c r="W4" s="59"/>
    </row>
    <row r="5" spans="1:61">
      <c r="T5" s="415"/>
      <c r="U5" s="454"/>
      <c r="V5" s="58"/>
      <c r="W5" s="59"/>
    </row>
    <row r="6" spans="1:61">
      <c r="A6" s="42" t="s">
        <v>16</v>
      </c>
      <c r="B6" s="104">
        <v>105.5</v>
      </c>
      <c r="C6" s="104">
        <v>101.9</v>
      </c>
      <c r="D6" s="43">
        <v>100.8</v>
      </c>
      <c r="E6" s="43">
        <v>103.5</v>
      </c>
      <c r="F6" s="43">
        <v>102.1</v>
      </c>
      <c r="G6" s="43">
        <v>101</v>
      </c>
      <c r="H6" s="43">
        <v>102.5</v>
      </c>
      <c r="I6" s="43">
        <v>104.2</v>
      </c>
      <c r="J6" s="43">
        <v>103.5</v>
      </c>
      <c r="K6" s="43">
        <v>102.6</v>
      </c>
      <c r="L6" s="43">
        <v>104.3</v>
      </c>
      <c r="M6" s="43">
        <v>103.7</v>
      </c>
      <c r="N6" s="43">
        <v>100.9</v>
      </c>
      <c r="O6" s="43">
        <v>100</v>
      </c>
      <c r="P6" s="43">
        <v>99.1</v>
      </c>
      <c r="Q6" s="43">
        <v>99.4</v>
      </c>
      <c r="R6" s="38">
        <v>102</v>
      </c>
      <c r="S6" s="38">
        <v>101.6</v>
      </c>
      <c r="T6" s="38">
        <v>102.3</v>
      </c>
      <c r="U6" s="38">
        <v>103.4</v>
      </c>
      <c r="V6" s="60">
        <v>105.1</v>
      </c>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row>
    <row r="7" spans="1:61">
      <c r="A7" s="37" t="s">
        <v>693</v>
      </c>
      <c r="B7" s="37"/>
      <c r="C7" s="37"/>
      <c r="D7" s="37"/>
      <c r="E7" s="37"/>
      <c r="F7" s="37"/>
      <c r="G7" s="37"/>
      <c r="H7" s="37"/>
      <c r="I7" s="37"/>
      <c r="J7" s="37"/>
      <c r="K7" s="37"/>
      <c r="L7" s="37"/>
      <c r="M7" s="37"/>
      <c r="N7" s="37"/>
      <c r="O7" s="37"/>
      <c r="P7" s="39"/>
      <c r="Q7" s="39"/>
      <c r="T7" s="415"/>
      <c r="U7" s="454"/>
      <c r="V7" s="58"/>
      <c r="W7" s="57"/>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row>
    <row r="8" spans="1:61">
      <c r="T8" s="415"/>
      <c r="U8" s="454"/>
      <c r="V8" s="58"/>
      <c r="W8" s="82"/>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row>
    <row r="9" spans="1:61">
      <c r="A9" s="42" t="s">
        <v>324</v>
      </c>
      <c r="B9" s="104">
        <v>101.3</v>
      </c>
      <c r="C9" s="38">
        <v>102</v>
      </c>
      <c r="D9" s="38">
        <v>103.5</v>
      </c>
      <c r="E9" s="38">
        <v>105</v>
      </c>
      <c r="F9" s="38">
        <v>103.5</v>
      </c>
      <c r="G9" s="38">
        <v>106.1</v>
      </c>
      <c r="H9" s="38">
        <v>107.1</v>
      </c>
      <c r="I9" s="38">
        <v>104.2</v>
      </c>
      <c r="J9" s="38">
        <v>102.8</v>
      </c>
      <c r="K9" s="38">
        <v>103.7</v>
      </c>
      <c r="L9" s="38">
        <v>104.8</v>
      </c>
      <c r="M9" s="38">
        <v>101.3</v>
      </c>
      <c r="N9" s="38">
        <v>101.1</v>
      </c>
      <c r="O9" s="38">
        <v>103.4</v>
      </c>
      <c r="P9" s="38">
        <v>104.2</v>
      </c>
      <c r="Q9" s="43">
        <v>103.1</v>
      </c>
      <c r="R9" s="38">
        <v>104.8</v>
      </c>
      <c r="S9" s="38">
        <v>105.4</v>
      </c>
      <c r="T9" s="38">
        <v>104.7</v>
      </c>
      <c r="U9" s="38">
        <v>97.8</v>
      </c>
      <c r="V9" s="60">
        <v>105.9</v>
      </c>
      <c r="W9" s="61"/>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row>
    <row r="10" spans="1:61">
      <c r="A10" s="37" t="s">
        <v>707</v>
      </c>
      <c r="B10" s="37"/>
      <c r="C10" s="37"/>
      <c r="D10" s="37"/>
      <c r="E10" s="37"/>
      <c r="F10" s="37"/>
      <c r="G10" s="37"/>
      <c r="H10" s="37"/>
      <c r="I10" s="37"/>
      <c r="J10" s="37"/>
      <c r="K10" s="37"/>
      <c r="L10" s="37"/>
      <c r="M10" s="37"/>
      <c r="N10" s="37"/>
      <c r="O10" s="37"/>
      <c r="T10" s="81"/>
      <c r="U10" s="81"/>
      <c r="V10" s="56"/>
      <c r="W10" s="57"/>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row>
    <row r="11" spans="1:61">
      <c r="A11" s="40"/>
      <c r="B11" s="40"/>
      <c r="C11" s="40"/>
      <c r="D11" s="40"/>
      <c r="E11" s="40"/>
      <c r="F11" s="40"/>
      <c r="G11" s="40"/>
      <c r="H11" s="40"/>
      <c r="I11" s="40"/>
      <c r="J11" s="40"/>
      <c r="K11" s="40"/>
      <c r="L11" s="40"/>
      <c r="M11" s="40"/>
      <c r="N11" s="40"/>
      <c r="O11" s="40"/>
      <c r="U11" s="622"/>
      <c r="V11" s="58"/>
      <c r="W11" s="82"/>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row>
    <row r="12" spans="1:61">
      <c r="A12" s="42" t="s">
        <v>325</v>
      </c>
      <c r="B12" s="108">
        <v>38242.199999999997</v>
      </c>
      <c r="C12" s="44">
        <v>38218.5</v>
      </c>
      <c r="D12" s="44">
        <v>38190.6</v>
      </c>
      <c r="E12" s="44">
        <v>38173.800000000003</v>
      </c>
      <c r="F12" s="44">
        <v>38157.1</v>
      </c>
      <c r="G12" s="44">
        <v>38125.5</v>
      </c>
      <c r="H12" s="44">
        <v>38115.599999999999</v>
      </c>
      <c r="I12" s="44">
        <v>38135.9</v>
      </c>
      <c r="J12" s="44">
        <v>38167.300000000003</v>
      </c>
      <c r="K12" s="44">
        <v>38529.9</v>
      </c>
      <c r="L12" s="44">
        <v>38538.400000000001</v>
      </c>
      <c r="M12" s="44">
        <v>38533.300000000003</v>
      </c>
      <c r="N12" s="44">
        <v>38495.699999999997</v>
      </c>
      <c r="O12" s="44">
        <v>38478.6</v>
      </c>
      <c r="P12" s="44">
        <v>38437.199999999997</v>
      </c>
      <c r="Q12" s="44">
        <v>38433</v>
      </c>
      <c r="R12" s="45">
        <v>38433.599999999999</v>
      </c>
      <c r="S12" s="45">
        <v>38411.1</v>
      </c>
      <c r="T12" s="45">
        <v>38382.6</v>
      </c>
      <c r="U12" s="45">
        <v>38265</v>
      </c>
      <c r="V12" s="485">
        <v>38080.400000000001</v>
      </c>
      <c r="W12" s="62"/>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row>
    <row r="13" spans="1:61">
      <c r="A13" s="42" t="s">
        <v>17</v>
      </c>
      <c r="B13" s="107"/>
      <c r="C13" s="109">
        <f t="shared" ref="C13:V13" si="1">C12/B12</f>
        <v>0.99938026577968853</v>
      </c>
      <c r="D13" s="47">
        <f t="shared" si="1"/>
        <v>0.99926998704815728</v>
      </c>
      <c r="E13" s="47">
        <f t="shared" si="1"/>
        <v>0.99956010117672944</v>
      </c>
      <c r="F13" s="47">
        <f t="shared" si="1"/>
        <v>0.99956252717832639</v>
      </c>
      <c r="G13" s="47">
        <f t="shared" si="1"/>
        <v>0.99917184482049215</v>
      </c>
      <c r="H13" s="47">
        <f t="shared" si="1"/>
        <v>0.99974033127434392</v>
      </c>
      <c r="I13" s="47">
        <f t="shared" si="1"/>
        <v>1.0005325903304685</v>
      </c>
      <c r="J13" s="47">
        <f t="shared" si="1"/>
        <v>1.0008233711542143</v>
      </c>
      <c r="K13" s="47">
        <f t="shared" si="1"/>
        <v>1.009500279034671</v>
      </c>
      <c r="L13" s="47">
        <f t="shared" si="1"/>
        <v>1.0002206078915337</v>
      </c>
      <c r="M13" s="47">
        <f t="shared" si="1"/>
        <v>0.9998676644593445</v>
      </c>
      <c r="N13" s="47">
        <f t="shared" si="1"/>
        <v>0.99902422060918727</v>
      </c>
      <c r="O13" s="47">
        <f t="shared" si="1"/>
        <v>0.99955579454328669</v>
      </c>
      <c r="P13" s="47">
        <f t="shared" si="1"/>
        <v>0.99892407727931887</v>
      </c>
      <c r="Q13" s="47">
        <f t="shared" si="1"/>
        <v>0.99989073085448477</v>
      </c>
      <c r="R13" s="47">
        <f t="shared" si="1"/>
        <v>1.000015611583795</v>
      </c>
      <c r="S13" s="47">
        <f t="shared" si="1"/>
        <v>0.99941457474709627</v>
      </c>
      <c r="T13" s="47">
        <f t="shared" si="1"/>
        <v>0.99925802697657706</v>
      </c>
      <c r="U13" s="47">
        <f t="shared" si="1"/>
        <v>0.99693611167560303</v>
      </c>
      <c r="V13" s="63">
        <f t="shared" si="1"/>
        <v>0.9951757480726513</v>
      </c>
      <c r="W13" s="64"/>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c r="A14" s="37" t="s">
        <v>537</v>
      </c>
      <c r="B14" s="37"/>
      <c r="C14" s="37"/>
      <c r="D14" s="37"/>
      <c r="E14" s="37"/>
      <c r="F14" s="37"/>
      <c r="G14" s="37"/>
      <c r="H14" s="37"/>
      <c r="I14" s="37"/>
      <c r="J14" s="37"/>
      <c r="K14" s="37"/>
      <c r="L14" s="37"/>
      <c r="M14" s="37"/>
      <c r="N14" s="37"/>
      <c r="O14" s="37"/>
      <c r="T14" s="415"/>
      <c r="U14" s="454"/>
      <c r="V14" s="58"/>
      <c r="W14" s="57"/>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row>
    <row r="15" spans="1:61">
      <c r="A15" s="40"/>
      <c r="B15" s="40"/>
      <c r="C15" s="40"/>
      <c r="D15" s="40"/>
      <c r="E15" s="40"/>
      <c r="F15" s="40"/>
      <c r="G15" s="40"/>
      <c r="H15" s="40"/>
      <c r="I15" s="40"/>
      <c r="J15" s="40"/>
      <c r="K15" s="40"/>
      <c r="L15" s="40"/>
      <c r="M15" s="40"/>
      <c r="N15" s="40"/>
      <c r="O15" s="40"/>
      <c r="T15" s="415"/>
      <c r="U15" s="454"/>
      <c r="V15" s="58"/>
      <c r="W15" s="82"/>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row>
    <row r="16" spans="1:61">
      <c r="A16" s="42" t="s">
        <v>326</v>
      </c>
      <c r="B16" s="110"/>
      <c r="C16" s="111">
        <f t="shared" ref="C16:O16" si="2">(C9-100)/C13+100</f>
        <v>102.00124023705797</v>
      </c>
      <c r="D16" s="48">
        <f t="shared" si="2"/>
        <v>103.50255691191026</v>
      </c>
      <c r="E16" s="48">
        <f t="shared" si="2"/>
        <v>105.00220046209704</v>
      </c>
      <c r="F16" s="48">
        <f t="shared" si="2"/>
        <v>103.50153182500766</v>
      </c>
      <c r="G16" s="48">
        <f t="shared" si="2"/>
        <v>106.10505593369267</v>
      </c>
      <c r="H16" s="48">
        <f t="shared" si="2"/>
        <v>107.10184412681421</v>
      </c>
      <c r="I16" s="48">
        <f t="shared" si="2"/>
        <v>104.19776431131821</v>
      </c>
      <c r="J16" s="48">
        <f t="shared" si="2"/>
        <v>102.79769645743869</v>
      </c>
      <c r="K16" s="48">
        <f t="shared" si="2"/>
        <v>103.66517976947773</v>
      </c>
      <c r="L16" s="48">
        <f t="shared" si="2"/>
        <v>104.79894131567475</v>
      </c>
      <c r="M16" s="48">
        <f t="shared" si="2"/>
        <v>101.30017205897236</v>
      </c>
      <c r="N16" s="48">
        <f t="shared" si="2"/>
        <v>101.10107440571284</v>
      </c>
      <c r="O16" s="48">
        <f t="shared" si="2"/>
        <v>103.40151096973383</v>
      </c>
      <c r="P16" s="48">
        <f t="shared" ref="P16:V16" si="3">(P9-100)/P13+100</f>
        <v>104.20452374262433</v>
      </c>
      <c r="Q16" s="48">
        <f t="shared" si="3"/>
        <v>103.10033877136834</v>
      </c>
      <c r="R16" s="48">
        <f t="shared" si="3"/>
        <v>104.79992506556762</v>
      </c>
      <c r="S16" s="48">
        <f t="shared" si="3"/>
        <v>105.40316314815249</v>
      </c>
      <c r="T16" s="48">
        <f t="shared" si="3"/>
        <v>104.703489862594</v>
      </c>
      <c r="U16" s="48">
        <f t="shared" si="3"/>
        <v>97.793238729909831</v>
      </c>
      <c r="V16" s="65">
        <f t="shared" si="3"/>
        <v>105.92860106511486</v>
      </c>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row>
    <row r="17" spans="1:61">
      <c r="A17" s="37" t="s">
        <v>25</v>
      </c>
      <c r="B17" s="37"/>
      <c r="C17" s="37"/>
      <c r="D17" s="37"/>
      <c r="E17" s="37"/>
      <c r="F17" s="37"/>
      <c r="G17" s="37"/>
      <c r="H17" s="37"/>
      <c r="I17" s="37"/>
      <c r="J17" s="37"/>
      <c r="K17" s="37"/>
      <c r="L17" s="37"/>
      <c r="M17" s="37"/>
      <c r="N17" s="37"/>
      <c r="O17" s="37"/>
      <c r="T17" s="415"/>
      <c r="U17" s="454"/>
      <c r="V17" s="58"/>
    </row>
    <row r="18" spans="1:61">
      <c r="T18" s="415"/>
      <c r="U18" s="454"/>
      <c r="V18" s="58"/>
    </row>
    <row r="19" spans="1:61">
      <c r="A19" s="36" t="s">
        <v>327</v>
      </c>
      <c r="B19" s="112"/>
      <c r="C19" s="112"/>
      <c r="D19" s="112"/>
      <c r="E19" s="112"/>
      <c r="F19" s="112"/>
      <c r="G19" s="112"/>
      <c r="H19" s="112"/>
      <c r="I19" s="112"/>
      <c r="J19" s="112"/>
      <c r="K19" s="112"/>
      <c r="L19" s="112"/>
      <c r="M19" s="112"/>
      <c r="N19" s="112"/>
      <c r="O19" s="112"/>
      <c r="P19" s="112"/>
      <c r="Q19" s="112"/>
      <c r="R19" s="112"/>
      <c r="S19" s="112"/>
      <c r="T19" s="112"/>
      <c r="U19" s="112"/>
      <c r="V19" s="486">
        <f>V9</f>
        <v>105.9</v>
      </c>
      <c r="W19" s="66">
        <v>103.8</v>
      </c>
      <c r="X19" s="38">
        <v>103.2</v>
      </c>
      <c r="Y19" s="38">
        <v>103</v>
      </c>
      <c r="Z19" s="38">
        <v>103.1</v>
      </c>
      <c r="AA19" s="38">
        <v>103</v>
      </c>
      <c r="AB19" s="38">
        <v>103</v>
      </c>
      <c r="AC19" s="38">
        <v>102.9</v>
      </c>
      <c r="AD19" s="38">
        <v>102.8</v>
      </c>
      <c r="AE19" s="38">
        <v>102.7</v>
      </c>
      <c r="AF19" s="38">
        <v>102.7</v>
      </c>
      <c r="AG19" s="38">
        <v>102.6</v>
      </c>
      <c r="AH19" s="38">
        <v>102.6</v>
      </c>
      <c r="AI19" s="38">
        <v>102.5</v>
      </c>
      <c r="AJ19" s="38">
        <v>102.4</v>
      </c>
      <c r="AK19" s="38">
        <v>102.3</v>
      </c>
      <c r="AL19" s="38">
        <v>102.2</v>
      </c>
      <c r="AM19" s="38">
        <v>102.1</v>
      </c>
      <c r="AN19" s="38">
        <v>102</v>
      </c>
      <c r="AO19" s="38">
        <v>102</v>
      </c>
      <c r="AP19" s="38">
        <v>101.8</v>
      </c>
      <c r="AQ19" s="38">
        <v>101.8</v>
      </c>
      <c r="AR19" s="38">
        <v>101.8</v>
      </c>
      <c r="AS19" s="38">
        <v>101.7</v>
      </c>
      <c r="AT19" s="38">
        <v>101.6</v>
      </c>
      <c r="AU19" s="38">
        <v>101.5</v>
      </c>
      <c r="AV19" s="38">
        <v>101.5</v>
      </c>
      <c r="AW19" s="38">
        <v>101.5</v>
      </c>
      <c r="AX19" s="38">
        <v>101.5</v>
      </c>
      <c r="AY19" s="38">
        <v>101.4</v>
      </c>
      <c r="AZ19" s="38">
        <v>101.4</v>
      </c>
      <c r="BA19" s="38">
        <v>101.4</v>
      </c>
      <c r="BB19" s="38">
        <v>101.4</v>
      </c>
      <c r="BC19" s="38">
        <v>101.4</v>
      </c>
      <c r="BD19" s="38">
        <v>101.4</v>
      </c>
      <c r="BE19" s="38">
        <v>101.5</v>
      </c>
      <c r="BF19" s="38">
        <v>101.5</v>
      </c>
      <c r="BG19" s="38">
        <v>101.5</v>
      </c>
      <c r="BH19" s="38">
        <v>101.6</v>
      </c>
      <c r="BI19" s="38">
        <v>101.6</v>
      </c>
    </row>
    <row r="20" spans="1:61">
      <c r="A20" s="37" t="s">
        <v>708</v>
      </c>
      <c r="B20" s="37"/>
      <c r="C20" s="37"/>
      <c r="D20" s="37"/>
      <c r="E20" s="37"/>
      <c r="F20" s="37"/>
      <c r="G20" s="37"/>
      <c r="H20" s="37"/>
      <c r="I20" s="37"/>
      <c r="J20" s="37"/>
      <c r="K20" s="37"/>
      <c r="L20" s="37"/>
      <c r="M20" s="37"/>
      <c r="N20" s="37"/>
      <c r="O20" s="37"/>
      <c r="P20" s="81"/>
      <c r="Q20" s="81"/>
      <c r="R20" s="81"/>
      <c r="S20" s="81"/>
      <c r="T20" s="81"/>
      <c r="U20" s="81"/>
      <c r="V20" s="56"/>
      <c r="W20" s="454"/>
    </row>
    <row r="21" spans="1:61">
      <c r="A21" s="50"/>
      <c r="B21" s="50"/>
      <c r="C21" s="50"/>
      <c r="D21" s="50"/>
      <c r="E21" s="50"/>
      <c r="F21" s="50"/>
      <c r="G21" s="50"/>
      <c r="H21" s="50"/>
      <c r="I21" s="50"/>
      <c r="J21" s="50"/>
      <c r="K21" s="50"/>
      <c r="L21" s="50"/>
      <c r="M21" s="50"/>
      <c r="N21" s="50"/>
      <c r="O21" s="50"/>
      <c r="T21" s="415"/>
      <c r="U21" s="454"/>
      <c r="V21" s="58"/>
      <c r="W21" s="59"/>
      <c r="AY21" s="50" t="s">
        <v>20</v>
      </c>
    </row>
    <row r="22" spans="1:61">
      <c r="A22" s="36" t="s">
        <v>328</v>
      </c>
      <c r="B22" s="113"/>
      <c r="C22" s="113"/>
      <c r="D22" s="113"/>
      <c r="E22" s="113"/>
      <c r="F22" s="113"/>
      <c r="G22" s="113"/>
      <c r="H22" s="113"/>
      <c r="I22" s="113"/>
      <c r="J22" s="113"/>
      <c r="K22" s="113"/>
      <c r="L22" s="113"/>
      <c r="M22" s="113"/>
      <c r="N22" s="113"/>
      <c r="O22" s="113"/>
      <c r="P22" s="51">
        <v>38419006</v>
      </c>
      <c r="Q22" s="52">
        <v>38369390</v>
      </c>
      <c r="R22" s="51">
        <v>38315463</v>
      </c>
      <c r="S22" s="51">
        <v>38259532</v>
      </c>
      <c r="T22" s="51">
        <v>38200552</v>
      </c>
      <c r="U22" s="51">
        <v>38137804</v>
      </c>
      <c r="V22" s="67">
        <v>38070314</v>
      </c>
      <c r="W22" s="68">
        <v>37997408</v>
      </c>
      <c r="X22" s="51">
        <v>37918575</v>
      </c>
      <c r="Y22" s="51">
        <v>37833310</v>
      </c>
      <c r="Z22" s="51">
        <v>37741462</v>
      </c>
      <c r="AA22" s="51">
        <v>37643028</v>
      </c>
      <c r="AB22" s="51">
        <v>37538019</v>
      </c>
      <c r="AC22" s="51">
        <v>37426538</v>
      </c>
      <c r="AD22" s="51">
        <v>37308801</v>
      </c>
      <c r="AE22" s="51">
        <v>37185073</v>
      </c>
      <c r="AF22" s="51">
        <v>37054634</v>
      </c>
      <c r="AG22" s="51">
        <v>36917987</v>
      </c>
      <c r="AH22" s="51">
        <v>36775688</v>
      </c>
      <c r="AI22" s="51">
        <v>36628362</v>
      </c>
      <c r="AJ22" s="51">
        <v>36476771</v>
      </c>
      <c r="AK22" s="51">
        <v>36321005</v>
      </c>
      <c r="AL22" s="51">
        <v>36161695</v>
      </c>
      <c r="AM22" s="51">
        <v>35999436</v>
      </c>
      <c r="AN22" s="51">
        <v>35834847</v>
      </c>
      <c r="AO22" s="51">
        <v>35668232</v>
      </c>
      <c r="AP22" s="51">
        <v>35500249</v>
      </c>
      <c r="AQ22" s="51">
        <v>35330941</v>
      </c>
      <c r="AR22" s="51">
        <v>35160664</v>
      </c>
      <c r="AS22" s="51">
        <v>34989421</v>
      </c>
      <c r="AT22" s="51">
        <v>34817385</v>
      </c>
      <c r="AU22" s="51">
        <v>34644715</v>
      </c>
      <c r="AV22" s="51">
        <v>34471413</v>
      </c>
      <c r="AW22" s="51">
        <v>34297846</v>
      </c>
      <c r="AX22" s="51">
        <v>34124130</v>
      </c>
      <c r="AY22" s="51">
        <v>33950569</v>
      </c>
      <c r="AZ22" s="53">
        <f>AY22*$AY$24</f>
        <v>33783419.402831256</v>
      </c>
      <c r="BA22" s="53">
        <f t="shared" ref="BA22:BI22" si="4">AZ22*$AY$24</f>
        <v>33617092.737019971</v>
      </c>
      <c r="BB22" s="53">
        <f t="shared" si="4"/>
        <v>33451584.95100975</v>
      </c>
      <c r="BC22" s="53">
        <f t="shared" si="4"/>
        <v>33286892.01319132</v>
      </c>
      <c r="BD22" s="53">
        <f t="shared" si="4"/>
        <v>33123009.911804315</v>
      </c>
      <c r="BE22" s="53">
        <f t="shared" si="4"/>
        <v>32959934.654839564</v>
      </c>
      <c r="BF22" s="53">
        <f t="shared" si="4"/>
        <v>32797662.269941844</v>
      </c>
      <c r="BG22" s="53">
        <f t="shared" si="4"/>
        <v>32636188.804313112</v>
      </c>
      <c r="BH22" s="53">
        <f t="shared" si="4"/>
        <v>32475510.324616231</v>
      </c>
      <c r="BI22" s="53">
        <f t="shared" si="4"/>
        <v>32315622.916879144</v>
      </c>
    </row>
    <row r="23" spans="1:61">
      <c r="A23" s="36" t="s">
        <v>18</v>
      </c>
      <c r="B23" s="107"/>
      <c r="C23" s="107"/>
      <c r="D23" s="107"/>
      <c r="E23" s="107"/>
      <c r="F23" s="107"/>
      <c r="G23" s="107"/>
      <c r="H23" s="107"/>
      <c r="I23" s="107"/>
      <c r="J23" s="107"/>
      <c r="K23" s="107"/>
      <c r="L23" s="107"/>
      <c r="M23" s="107"/>
      <c r="N23" s="107"/>
      <c r="O23" s="107"/>
      <c r="P23" s="107"/>
      <c r="Q23" s="47">
        <f t="shared" ref="Q23:BI23" si="5">Q22/P22</f>
        <v>0.99870855586425111</v>
      </c>
      <c r="R23" s="54">
        <f t="shared" si="5"/>
        <v>0.99859453069230442</v>
      </c>
      <c r="S23" s="54">
        <f t="shared" si="5"/>
        <v>0.99854024992468449</v>
      </c>
      <c r="T23" s="54">
        <f t="shared" si="5"/>
        <v>0.99845842338061008</v>
      </c>
      <c r="U23" s="54">
        <f t="shared" si="5"/>
        <v>0.9983574059348671</v>
      </c>
      <c r="V23" s="69">
        <f t="shared" si="5"/>
        <v>0.99823036481072691</v>
      </c>
      <c r="W23" s="70">
        <f t="shared" si="5"/>
        <v>0.99808496457370954</v>
      </c>
      <c r="X23" s="54">
        <f t="shared" si="5"/>
        <v>0.99792530585244132</v>
      </c>
      <c r="Y23" s="54">
        <f t="shared" si="5"/>
        <v>0.9977513659202647</v>
      </c>
      <c r="Z23" s="54">
        <f t="shared" si="5"/>
        <v>0.99757229806221026</v>
      </c>
      <c r="AA23" s="54">
        <f t="shared" si="5"/>
        <v>0.99739188693856107</v>
      </c>
      <c r="AB23" s="54">
        <f t="shared" si="5"/>
        <v>0.99721039975848913</v>
      </c>
      <c r="AC23" s="54">
        <f t="shared" si="5"/>
        <v>0.99703018425133194</v>
      </c>
      <c r="AD23" s="54">
        <f t="shared" si="5"/>
        <v>0.99685418405517501</v>
      </c>
      <c r="AE23" s="54">
        <f t="shared" si="5"/>
        <v>0.99668367793432977</v>
      </c>
      <c r="AF23" s="54">
        <f t="shared" si="5"/>
        <v>0.9964921677039601</v>
      </c>
      <c r="AG23" s="54">
        <f t="shared" si="5"/>
        <v>0.99631228310067776</v>
      </c>
      <c r="AH23" s="54">
        <f t="shared" si="5"/>
        <v>0.99614553740430101</v>
      </c>
      <c r="AI23" s="54">
        <f t="shared" si="5"/>
        <v>0.99599392946775056</v>
      </c>
      <c r="AJ23" s="54">
        <f t="shared" si="5"/>
        <v>0.99586137649289364</v>
      </c>
      <c r="AK23" s="54">
        <f t="shared" si="5"/>
        <v>0.99572972070362253</v>
      </c>
      <c r="AL23" s="54">
        <f t="shared" si="5"/>
        <v>0.99561383282208182</v>
      </c>
      <c r="AM23" s="54">
        <f t="shared" si="5"/>
        <v>0.99551295922384164</v>
      </c>
      <c r="AN23" s="54">
        <f t="shared" si="5"/>
        <v>0.99542801170551676</v>
      </c>
      <c r="AO23" s="54">
        <f t="shared" si="5"/>
        <v>0.99535047547433364</v>
      </c>
      <c r="AP23" s="54">
        <f t="shared" si="5"/>
        <v>0.99529040295577309</v>
      </c>
      <c r="AQ23" s="54">
        <f t="shared" si="5"/>
        <v>0.99523079401499415</v>
      </c>
      <c r="AR23" s="54">
        <f t="shared" si="5"/>
        <v>0.99518051330701895</v>
      </c>
      <c r="AS23" s="54">
        <f t="shared" si="5"/>
        <v>0.99512969948462859</v>
      </c>
      <c r="AT23" s="54">
        <f t="shared" si="5"/>
        <v>0.99508319957623759</v>
      </c>
      <c r="AU23" s="54">
        <f t="shared" si="5"/>
        <v>0.99504069590522093</v>
      </c>
      <c r="AV23" s="54">
        <f t="shared" si="5"/>
        <v>0.99499773630696631</v>
      </c>
      <c r="AW23" s="54">
        <f t="shared" si="5"/>
        <v>0.99496490033640339</v>
      </c>
      <c r="AX23" s="54">
        <f t="shared" si="5"/>
        <v>0.99493507551465477</v>
      </c>
      <c r="AY23" s="54">
        <f t="shared" si="5"/>
        <v>0.99491383370066866</v>
      </c>
      <c r="AZ23" s="54">
        <f t="shared" si="5"/>
        <v>0.99507667759062468</v>
      </c>
      <c r="BA23" s="54">
        <f t="shared" si="5"/>
        <v>0.99507667759062468</v>
      </c>
      <c r="BB23" s="54">
        <f t="shared" si="5"/>
        <v>0.99507667759062457</v>
      </c>
      <c r="BC23" s="54">
        <f t="shared" si="5"/>
        <v>0.99507667759062457</v>
      </c>
      <c r="BD23" s="54">
        <f t="shared" si="5"/>
        <v>0.99507667759062457</v>
      </c>
      <c r="BE23" s="54">
        <f t="shared" si="5"/>
        <v>0.99507667759062457</v>
      </c>
      <c r="BF23" s="54">
        <f t="shared" si="5"/>
        <v>0.99507667759062457</v>
      </c>
      <c r="BG23" s="54">
        <f t="shared" si="5"/>
        <v>0.99507667759062457</v>
      </c>
      <c r="BH23" s="54">
        <f t="shared" si="5"/>
        <v>0.99507667759062457</v>
      </c>
      <c r="BI23" s="54">
        <f t="shared" si="5"/>
        <v>0.99507667759062457</v>
      </c>
    </row>
    <row r="24" spans="1:61">
      <c r="A24" s="37" t="s">
        <v>19</v>
      </c>
      <c r="B24" s="37"/>
      <c r="C24" s="37"/>
      <c r="D24" s="37"/>
      <c r="E24" s="37"/>
      <c r="F24" s="37"/>
      <c r="G24" s="37"/>
      <c r="H24" s="37"/>
      <c r="I24" s="37"/>
      <c r="J24" s="37"/>
      <c r="K24" s="37"/>
      <c r="L24" s="37"/>
      <c r="M24" s="37"/>
      <c r="N24" s="37"/>
      <c r="O24" s="37"/>
      <c r="T24" s="415"/>
      <c r="U24" s="454"/>
      <c r="V24" s="58"/>
      <c r="W24" s="59"/>
      <c r="AY24" s="54">
        <f>(AY22/AO22)^(1/($AY$1-$AO$1))</f>
        <v>0.99507667759062457</v>
      </c>
      <c r="AZ24" s="494"/>
    </row>
    <row r="25" spans="1:61">
      <c r="A25" s="50"/>
      <c r="B25" s="50"/>
      <c r="C25" s="50"/>
      <c r="D25" s="50"/>
      <c r="E25" s="50"/>
      <c r="F25" s="50"/>
      <c r="G25" s="50"/>
      <c r="H25" s="50"/>
      <c r="I25" s="50"/>
      <c r="J25" s="50"/>
      <c r="K25" s="50"/>
      <c r="L25" s="50"/>
      <c r="M25" s="50"/>
      <c r="N25" s="50"/>
      <c r="O25" s="50"/>
      <c r="T25" s="415"/>
      <c r="U25" s="454"/>
      <c r="V25" s="58"/>
      <c r="W25" s="59"/>
    </row>
    <row r="26" spans="1:61">
      <c r="A26" s="36" t="s">
        <v>329</v>
      </c>
      <c r="B26" s="107"/>
      <c r="C26" s="107"/>
      <c r="D26" s="107"/>
      <c r="E26" s="107"/>
      <c r="F26" s="107"/>
      <c r="G26" s="107"/>
      <c r="H26" s="107"/>
      <c r="I26" s="107"/>
      <c r="J26" s="107"/>
      <c r="K26" s="107"/>
      <c r="L26" s="107"/>
      <c r="M26" s="107"/>
      <c r="N26" s="107"/>
      <c r="O26" s="107"/>
      <c r="P26" s="107"/>
      <c r="Q26" s="107"/>
      <c r="R26" s="107"/>
      <c r="S26" s="107"/>
      <c r="T26" s="107"/>
      <c r="U26" s="107"/>
      <c r="V26" s="417"/>
      <c r="W26" s="70">
        <f t="shared" ref="W26:BI26" si="6">W19/100/W23</f>
        <v>1.0399916207968714</v>
      </c>
      <c r="X26" s="54">
        <f t="shared" si="6"/>
        <v>1.0341455356906213</v>
      </c>
      <c r="Y26" s="54">
        <f t="shared" si="6"/>
        <v>1.0323213128853912</v>
      </c>
      <c r="Z26" s="54">
        <f t="shared" si="6"/>
        <v>1.033509051928089</v>
      </c>
      <c r="AA26" s="54">
        <f t="shared" si="6"/>
        <v>1.0326933810956973</v>
      </c>
      <c r="AB26" s="54">
        <f t="shared" si="6"/>
        <v>1.0328813259964518</v>
      </c>
      <c r="AC26" s="54">
        <f t="shared" si="6"/>
        <v>1.032065043018406</v>
      </c>
      <c r="AD26" s="54">
        <f t="shared" si="6"/>
        <v>1.0312441041458287</v>
      </c>
      <c r="AE26" s="54">
        <f t="shared" si="6"/>
        <v>1.0304171952815584</v>
      </c>
      <c r="AF26" s="54">
        <f t="shared" si="6"/>
        <v>1.0306152253723517</v>
      </c>
      <c r="AG26" s="54">
        <f t="shared" si="6"/>
        <v>1.02979760201985</v>
      </c>
      <c r="AH26" s="54">
        <f t="shared" si="6"/>
        <v>1.0299699807655536</v>
      </c>
      <c r="AI26" s="54">
        <f t="shared" si="6"/>
        <v>1.0291227382758747</v>
      </c>
      <c r="AJ26" s="54">
        <f t="shared" si="6"/>
        <v>1.0282555626428667</v>
      </c>
      <c r="AK26" s="54">
        <f t="shared" si="6"/>
        <v>1.0273872304194225</v>
      </c>
      <c r="AL26" s="54">
        <f t="shared" si="6"/>
        <v>1.0265024111839891</v>
      </c>
      <c r="AM26" s="54">
        <f t="shared" si="6"/>
        <v>1.0256019176244873</v>
      </c>
      <c r="AN26" s="54">
        <f t="shared" si="6"/>
        <v>1.0246848471265972</v>
      </c>
      <c r="AO26" s="54">
        <f t="shared" si="6"/>
        <v>1.0247646684590366</v>
      </c>
      <c r="AP26" s="54">
        <f t="shared" si="6"/>
        <v>1.0228170561845917</v>
      </c>
      <c r="AQ26" s="54">
        <f t="shared" si="6"/>
        <v>1.0228783173932445</v>
      </c>
      <c r="AR26" s="54">
        <f t="shared" si="6"/>
        <v>1.0229299975108548</v>
      </c>
      <c r="AS26" s="54">
        <f t="shared" si="6"/>
        <v>1.021977336749871</v>
      </c>
      <c r="AT26" s="54">
        <f t="shared" si="6"/>
        <v>1.021020152317585</v>
      </c>
      <c r="AU26" s="54">
        <f t="shared" si="6"/>
        <v>1.0200587816929652</v>
      </c>
      <c r="AV26" s="54">
        <f t="shared" si="6"/>
        <v>1.0201028233162359</v>
      </c>
      <c r="AW26" s="54">
        <f t="shared" si="6"/>
        <v>1.0201364888920428</v>
      </c>
      <c r="AX26" s="54">
        <f t="shared" si="6"/>
        <v>1.0201670691677707</v>
      </c>
      <c r="AY26" s="54">
        <f t="shared" si="6"/>
        <v>1.0191837379809452</v>
      </c>
      <c r="AZ26" s="54">
        <f t="shared" si="6"/>
        <v>1.0190169489804488</v>
      </c>
      <c r="BA26" s="54">
        <f t="shared" si="6"/>
        <v>1.0190169489804488</v>
      </c>
      <c r="BB26" s="54">
        <f t="shared" si="6"/>
        <v>1.0190169489804488</v>
      </c>
      <c r="BC26" s="54">
        <f t="shared" si="6"/>
        <v>1.0190169489804488</v>
      </c>
      <c r="BD26" s="54">
        <f t="shared" si="6"/>
        <v>1.0190169489804488</v>
      </c>
      <c r="BE26" s="54">
        <f t="shared" si="6"/>
        <v>1.020021896661889</v>
      </c>
      <c r="BF26" s="54">
        <f t="shared" si="6"/>
        <v>1.020021896661889</v>
      </c>
      <c r="BG26" s="54">
        <f t="shared" si="6"/>
        <v>1.020021896661889</v>
      </c>
      <c r="BH26" s="54">
        <f t="shared" si="6"/>
        <v>1.0210268443433295</v>
      </c>
      <c r="BI26" s="54">
        <f t="shared" si="6"/>
        <v>1.0210268443433295</v>
      </c>
    </row>
    <row r="27" spans="1:61">
      <c r="A27" s="37" t="s">
        <v>21</v>
      </c>
      <c r="B27" s="37"/>
      <c r="C27" s="37"/>
      <c r="D27" s="37"/>
      <c r="E27" s="37"/>
      <c r="F27" s="37"/>
      <c r="G27" s="37"/>
      <c r="H27" s="37"/>
      <c r="I27" s="37"/>
      <c r="J27" s="37"/>
      <c r="K27" s="37"/>
      <c r="L27" s="37"/>
      <c r="M27" s="37"/>
      <c r="N27" s="37"/>
      <c r="O27" s="37"/>
      <c r="T27" s="415"/>
      <c r="U27" s="454"/>
      <c r="V27" s="58"/>
      <c r="W27" s="59"/>
    </row>
    <row r="28" spans="1:61">
      <c r="T28" s="415"/>
      <c r="U28" s="454"/>
      <c r="V28" s="58"/>
      <c r="W28" s="59"/>
    </row>
    <row r="29" spans="1:61" s="454" customFormat="1">
      <c r="A29" s="1" t="s">
        <v>314</v>
      </c>
      <c r="V29" s="58"/>
      <c r="W29" s="149"/>
    </row>
    <row r="30" spans="1:61" s="454" customFormat="1">
      <c r="A30" s="645" t="s">
        <v>330</v>
      </c>
      <c r="B30" s="645"/>
      <c r="C30" s="645"/>
      <c r="D30" s="645"/>
      <c r="E30" s="645"/>
      <c r="F30" s="645"/>
      <c r="G30" s="645"/>
      <c r="H30" s="645"/>
      <c r="I30" s="645"/>
      <c r="J30" s="645"/>
      <c r="K30" s="645"/>
      <c r="L30" s="645"/>
      <c r="M30" s="645"/>
      <c r="N30" s="645"/>
      <c r="O30" s="645"/>
      <c r="P30" s="645"/>
      <c r="Q30" s="645"/>
      <c r="R30" s="645"/>
      <c r="S30" s="645"/>
      <c r="T30" s="645"/>
      <c r="U30" s="645"/>
      <c r="V30" s="58"/>
      <c r="W30" s="149"/>
    </row>
    <row r="31" spans="1:61" s="454" customFormat="1">
      <c r="A31" s="645"/>
      <c r="B31" s="645"/>
      <c r="C31" s="645"/>
      <c r="D31" s="645"/>
      <c r="E31" s="645"/>
      <c r="F31" s="645"/>
      <c r="G31" s="645"/>
      <c r="H31" s="645"/>
      <c r="I31" s="645"/>
      <c r="J31" s="645"/>
      <c r="K31" s="645"/>
      <c r="L31" s="645"/>
      <c r="M31" s="645"/>
      <c r="N31" s="645"/>
      <c r="O31" s="645"/>
      <c r="P31" s="645"/>
      <c r="Q31" s="645"/>
      <c r="R31" s="645"/>
      <c r="S31" s="645"/>
      <c r="T31" s="645"/>
      <c r="U31" s="645"/>
      <c r="V31" s="58"/>
      <c r="W31" s="149"/>
    </row>
    <row r="32" spans="1:61" s="454" customFormat="1">
      <c r="A32" s="646" t="s">
        <v>331</v>
      </c>
      <c r="B32" s="646"/>
      <c r="C32" s="646"/>
      <c r="D32" s="646"/>
      <c r="E32" s="646"/>
      <c r="F32" s="646"/>
      <c r="G32" s="646"/>
      <c r="H32" s="646"/>
      <c r="I32" s="646"/>
      <c r="J32" s="646"/>
      <c r="K32" s="646"/>
      <c r="L32" s="646"/>
      <c r="M32" s="646"/>
      <c r="N32" s="646"/>
      <c r="O32" s="646"/>
      <c r="P32" s="646"/>
      <c r="Q32" s="646"/>
      <c r="R32" s="646"/>
      <c r="S32" s="646"/>
      <c r="T32" s="646"/>
      <c r="U32" s="646"/>
      <c r="V32" s="58"/>
      <c r="W32" s="149"/>
    </row>
    <row r="33" spans="1:23" s="454" customFormat="1">
      <c r="A33" s="646"/>
      <c r="B33" s="646"/>
      <c r="C33" s="646"/>
      <c r="D33" s="646"/>
      <c r="E33" s="646"/>
      <c r="F33" s="646"/>
      <c r="G33" s="646"/>
      <c r="H33" s="646"/>
      <c r="I33" s="646"/>
      <c r="J33" s="646"/>
      <c r="K33" s="646"/>
      <c r="L33" s="646"/>
      <c r="M33" s="646"/>
      <c r="N33" s="646"/>
      <c r="O33" s="646"/>
      <c r="P33" s="646"/>
      <c r="Q33" s="646"/>
      <c r="R33" s="646"/>
      <c r="S33" s="646"/>
      <c r="T33" s="646"/>
      <c r="U33" s="646"/>
      <c r="V33" s="58"/>
      <c r="W33" s="149"/>
    </row>
    <row r="34" spans="1:23" s="454" customFormat="1">
      <c r="A34" s="145" t="s">
        <v>332</v>
      </c>
      <c r="V34" s="58"/>
      <c r="W34" s="149"/>
    </row>
    <row r="35" spans="1:23" s="454" customFormat="1">
      <c r="A35" s="145" t="s">
        <v>333</v>
      </c>
      <c r="V35" s="58"/>
      <c r="W35" s="149"/>
    </row>
    <row r="36" spans="1:23" s="454" customFormat="1">
      <c r="A36" s="504" t="s">
        <v>334</v>
      </c>
      <c r="V36" s="58"/>
      <c r="W36" s="149"/>
    </row>
    <row r="37" spans="1:23" s="454" customFormat="1">
      <c r="A37" s="646" t="s">
        <v>335</v>
      </c>
      <c r="B37" s="646"/>
      <c r="C37" s="646"/>
      <c r="D37" s="646"/>
      <c r="E37" s="646"/>
      <c r="F37" s="646"/>
      <c r="G37" s="646"/>
      <c r="H37" s="646"/>
      <c r="I37" s="646"/>
      <c r="J37" s="646"/>
      <c r="K37" s="646"/>
      <c r="L37" s="646"/>
      <c r="M37" s="646"/>
      <c r="N37" s="646"/>
      <c r="O37" s="646"/>
      <c r="P37" s="646"/>
      <c r="Q37" s="646"/>
      <c r="R37" s="646"/>
      <c r="S37" s="646"/>
      <c r="T37" s="646"/>
      <c r="U37" s="646"/>
      <c r="V37" s="58"/>
      <c r="W37" s="149"/>
    </row>
    <row r="38" spans="1:23" s="454" customFormat="1">
      <c r="A38" s="646"/>
      <c r="B38" s="646"/>
      <c r="C38" s="646"/>
      <c r="D38" s="646"/>
      <c r="E38" s="646"/>
      <c r="F38" s="646"/>
      <c r="G38" s="646"/>
      <c r="H38" s="646"/>
      <c r="I38" s="646"/>
      <c r="J38" s="646"/>
      <c r="K38" s="646"/>
      <c r="L38" s="646"/>
      <c r="M38" s="646"/>
      <c r="N38" s="646"/>
      <c r="O38" s="646"/>
      <c r="P38" s="646"/>
      <c r="Q38" s="646"/>
      <c r="R38" s="646"/>
      <c r="S38" s="646"/>
      <c r="T38" s="646"/>
      <c r="U38" s="646"/>
      <c r="V38" s="58"/>
      <c r="W38" s="149"/>
    </row>
    <row r="39" spans="1:23" s="454" customFormat="1">
      <c r="A39" s="646"/>
      <c r="B39" s="646"/>
      <c r="C39" s="646"/>
      <c r="D39" s="646"/>
      <c r="E39" s="646"/>
      <c r="F39" s="646"/>
      <c r="G39" s="646"/>
      <c r="H39" s="646"/>
      <c r="I39" s="646"/>
      <c r="J39" s="646"/>
      <c r="K39" s="646"/>
      <c r="L39" s="646"/>
      <c r="M39" s="646"/>
      <c r="N39" s="646"/>
      <c r="O39" s="646"/>
      <c r="P39" s="646"/>
      <c r="Q39" s="646"/>
      <c r="R39" s="646"/>
      <c r="S39" s="646"/>
      <c r="T39" s="646"/>
      <c r="U39" s="646"/>
      <c r="V39" s="58"/>
      <c r="W39" s="149"/>
    </row>
    <row r="40" spans="1:23" s="454" customFormat="1">
      <c r="V40" s="58"/>
      <c r="W40" s="149"/>
    </row>
    <row r="41" spans="1:23">
      <c r="A41" s="36" t="s">
        <v>26</v>
      </c>
      <c r="B41" s="106">
        <v>3.6720999999999999</v>
      </c>
      <c r="C41" s="106">
        <v>3.8574000000000002</v>
      </c>
      <c r="D41" s="106">
        <v>4.3996000000000004</v>
      </c>
      <c r="E41" s="106">
        <v>4.5267999999999997</v>
      </c>
      <c r="F41" s="106">
        <v>4.0229999999999997</v>
      </c>
      <c r="G41" s="106">
        <v>3.8959000000000001</v>
      </c>
      <c r="H41" s="106">
        <v>3.7837000000000001</v>
      </c>
      <c r="I41" s="106">
        <v>3.5121000000000002</v>
      </c>
      <c r="J41" s="106">
        <v>4.3276000000000003</v>
      </c>
      <c r="K41" s="106">
        <v>3.9946999999999999</v>
      </c>
      <c r="L41" s="106">
        <v>4.1205999999999996</v>
      </c>
      <c r="M41" s="106">
        <v>4.1847000000000003</v>
      </c>
      <c r="N41" s="106">
        <v>4.1974999999999998</v>
      </c>
      <c r="O41" s="106">
        <v>4.1843000000000004</v>
      </c>
      <c r="P41" s="106">
        <v>4.1840999999999999</v>
      </c>
      <c r="Q41" s="11">
        <v>4.3632</v>
      </c>
      <c r="R41" s="106">
        <v>4.2569999999999997</v>
      </c>
      <c r="S41" s="106">
        <v>4.2614999999999998</v>
      </c>
      <c r="T41" s="106">
        <v>4.2976000000000001</v>
      </c>
      <c r="U41" s="106">
        <v>4.4429999999999996</v>
      </c>
      <c r="V41" s="416">
        <v>4.5651999999999999</v>
      </c>
    </row>
    <row r="42" spans="1:23">
      <c r="A42" s="35" t="s">
        <v>4</v>
      </c>
      <c r="B42" s="35"/>
      <c r="C42" s="35"/>
      <c r="D42" s="35"/>
      <c r="E42" s="35"/>
      <c r="F42" s="35"/>
      <c r="G42" s="35"/>
      <c r="H42" s="35"/>
      <c r="I42" s="35"/>
      <c r="J42" s="35"/>
      <c r="K42" s="35"/>
      <c r="L42" s="35"/>
      <c r="M42" s="35"/>
      <c r="N42" s="35"/>
      <c r="O42" s="35"/>
      <c r="T42" s="415"/>
      <c r="U42" s="454"/>
      <c r="V42" s="58"/>
      <c r="W42" s="59"/>
    </row>
    <row r="43" spans="1:23">
      <c r="B43" s="484"/>
      <c r="T43" s="415"/>
      <c r="U43" s="454"/>
      <c r="V43" s="58"/>
      <c r="W43" s="59"/>
    </row>
    <row r="44" spans="1:23" s="372" customFormat="1">
      <c r="A44" s="36" t="s">
        <v>336</v>
      </c>
      <c r="B44" s="373">
        <v>46.8</v>
      </c>
      <c r="C44" s="373">
        <v>47.6</v>
      </c>
      <c r="D44" s="373">
        <v>48.3</v>
      </c>
      <c r="E44" s="373">
        <v>50.1</v>
      </c>
      <c r="F44" s="373">
        <v>50.4</v>
      </c>
      <c r="G44" s="373">
        <v>50.7</v>
      </c>
      <c r="H44" s="373">
        <v>53.1</v>
      </c>
      <c r="I44" s="373">
        <v>55.4</v>
      </c>
      <c r="J44" s="373">
        <v>59.1</v>
      </c>
      <c r="K44" s="501">
        <v>62.4</v>
      </c>
      <c r="L44" s="373">
        <v>64.900000000000006</v>
      </c>
      <c r="M44" s="373">
        <v>66.400000000000006</v>
      </c>
      <c r="N44" s="373">
        <v>66.400000000000006</v>
      </c>
      <c r="O44" s="373">
        <v>66.900000000000006</v>
      </c>
      <c r="P44" s="373">
        <v>68.400000000000006</v>
      </c>
      <c r="Q44" s="374">
        <v>68.2</v>
      </c>
      <c r="R44" s="373">
        <v>68.900000000000006</v>
      </c>
      <c r="S44" s="373">
        <v>70.3</v>
      </c>
      <c r="T44" s="373">
        <v>72.2</v>
      </c>
      <c r="U44"/>
      <c r="V44" s="58"/>
      <c r="W44" s="59"/>
    </row>
    <row r="45" spans="1:23" s="372" customFormat="1">
      <c r="A45" s="37" t="s">
        <v>300</v>
      </c>
      <c r="T45" s="415"/>
      <c r="U45" s="454"/>
      <c r="V45" s="149"/>
      <c r="W45" s="59"/>
    </row>
    <row r="46" spans="1:23" s="372" customFormat="1">
      <c r="A46" s="645" t="s">
        <v>337</v>
      </c>
      <c r="B46" s="645"/>
      <c r="C46" s="645"/>
      <c r="D46" s="645"/>
      <c r="E46" s="645"/>
      <c r="F46" s="645"/>
      <c r="G46" s="645"/>
      <c r="H46" s="645"/>
      <c r="I46" s="645"/>
      <c r="J46" s="645"/>
      <c r="K46" s="645"/>
      <c r="L46" s="645"/>
      <c r="M46" s="645"/>
      <c r="N46" s="645"/>
      <c r="O46" s="645"/>
      <c r="P46" s="645"/>
      <c r="Q46" s="645"/>
      <c r="R46" s="645"/>
      <c r="S46" s="645"/>
      <c r="T46" s="645"/>
      <c r="U46" s="645"/>
      <c r="V46" s="149"/>
      <c r="W46" s="59"/>
    </row>
    <row r="47" spans="1:23" s="454" customFormat="1">
      <c r="A47" s="645"/>
      <c r="B47" s="645"/>
      <c r="C47" s="645"/>
      <c r="D47" s="645"/>
      <c r="E47" s="645"/>
      <c r="F47" s="645"/>
      <c r="G47" s="645"/>
      <c r="H47" s="645"/>
      <c r="I47" s="645"/>
      <c r="J47" s="645"/>
      <c r="K47" s="645"/>
      <c r="L47" s="645"/>
      <c r="M47" s="645"/>
      <c r="N47" s="645"/>
      <c r="O47" s="645"/>
      <c r="P47" s="645"/>
      <c r="Q47" s="645"/>
      <c r="R47" s="645"/>
      <c r="S47" s="645"/>
      <c r="T47" s="645"/>
      <c r="U47" s="645"/>
      <c r="V47" s="149"/>
      <c r="W47" s="59"/>
    </row>
    <row r="48" spans="1:23" s="454" customFormat="1">
      <c r="V48" s="149"/>
      <c r="W48" s="59"/>
    </row>
    <row r="49" spans="1:61" s="414" customFormat="1">
      <c r="A49" s="42" t="s">
        <v>226</v>
      </c>
      <c r="B49" s="104"/>
      <c r="C49" s="104"/>
      <c r="D49" s="104"/>
      <c r="E49" s="104"/>
      <c r="F49" s="104"/>
      <c r="G49" s="43">
        <v>103.2</v>
      </c>
      <c r="H49" s="43">
        <v>107.4</v>
      </c>
      <c r="I49" s="43">
        <v>104.8</v>
      </c>
      <c r="J49" s="43">
        <v>100.2</v>
      </c>
      <c r="K49" s="43">
        <v>99.9</v>
      </c>
      <c r="L49" s="43">
        <v>101</v>
      </c>
      <c r="M49" s="43">
        <v>100.2</v>
      </c>
      <c r="N49" s="43">
        <v>98.2</v>
      </c>
      <c r="O49" s="43">
        <v>98.8</v>
      </c>
      <c r="P49" s="374">
        <v>99.5</v>
      </c>
      <c r="Q49" s="374">
        <v>99.6</v>
      </c>
      <c r="R49" s="374">
        <v>100.6</v>
      </c>
      <c r="S49" s="374">
        <v>102.7</v>
      </c>
      <c r="T49" s="374">
        <v>103.5</v>
      </c>
      <c r="U49" s="374">
        <v>102.6</v>
      </c>
      <c r="V49" s="374">
        <v>104.2</v>
      </c>
      <c r="W49" s="61"/>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row>
    <row r="50" spans="1:61" s="414" customFormat="1">
      <c r="A50" s="37" t="s">
        <v>693</v>
      </c>
      <c r="B50" s="37"/>
      <c r="C50" s="37"/>
      <c r="D50" s="37"/>
      <c r="E50" s="37"/>
      <c r="F50" s="37"/>
      <c r="G50" s="37"/>
      <c r="H50" s="37"/>
      <c r="I50" s="37"/>
      <c r="J50" s="37"/>
      <c r="K50" s="37"/>
      <c r="L50" s="37"/>
      <c r="M50" s="37"/>
      <c r="N50" s="37"/>
      <c r="O50" s="37"/>
      <c r="P50" s="39"/>
      <c r="Q50" s="39"/>
      <c r="T50" s="415"/>
      <c r="U50" s="454"/>
      <c r="V50" s="58"/>
      <c r="W50" s="57"/>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row>
    <row r="51" spans="1:61" s="414" customFormat="1">
      <c r="T51" s="415"/>
      <c r="U51" s="454"/>
      <c r="V51" s="58"/>
      <c r="W51" s="59"/>
    </row>
    <row r="52" spans="1:61" s="414" customFormat="1">
      <c r="T52" s="415"/>
      <c r="U52" s="454"/>
      <c r="V52" s="58"/>
      <c r="W52" s="59"/>
    </row>
    <row r="53" spans="1:61" ht="15.75">
      <c r="A53" s="71" t="s">
        <v>22</v>
      </c>
      <c r="B53" s="71"/>
      <c r="C53" s="71"/>
      <c r="D53" s="71"/>
      <c r="E53" s="71"/>
      <c r="F53" s="71"/>
      <c r="G53" s="71"/>
      <c r="H53" s="71"/>
      <c r="I53" s="71"/>
      <c r="J53" s="71"/>
      <c r="K53" s="71"/>
      <c r="L53" s="71"/>
      <c r="M53" s="71"/>
      <c r="N53" s="71"/>
      <c r="O53" s="71"/>
      <c r="T53" s="415"/>
      <c r="U53" s="454"/>
      <c r="V53" s="58"/>
      <c r="W53" s="59"/>
    </row>
    <row r="54" spans="1:61">
      <c r="A54" s="72" t="s">
        <v>338</v>
      </c>
      <c r="B54" s="40"/>
      <c r="C54" s="40"/>
      <c r="D54" s="40"/>
      <c r="E54" s="40"/>
      <c r="F54" s="40"/>
      <c r="G54" s="40"/>
      <c r="H54" s="40"/>
      <c r="I54" s="40"/>
      <c r="J54" s="40"/>
      <c r="K54" s="40"/>
      <c r="L54" s="40"/>
      <c r="M54" s="40"/>
      <c r="N54" s="40"/>
      <c r="O54" s="40"/>
      <c r="P54" s="50"/>
      <c r="Q54" s="79"/>
      <c r="T54" s="415"/>
      <c r="U54" s="454"/>
      <c r="V54" s="58"/>
      <c r="W54" s="59"/>
    </row>
    <row r="55" spans="1:61">
      <c r="A55" s="73" t="s">
        <v>339</v>
      </c>
      <c r="B55" s="114"/>
      <c r="C55" s="114"/>
      <c r="D55" s="114"/>
      <c r="E55" s="114"/>
      <c r="F55" s="114"/>
      <c r="G55" s="114"/>
      <c r="H55" s="114"/>
      <c r="I55" s="114"/>
      <c r="J55" s="114"/>
      <c r="K55" s="114"/>
      <c r="L55" s="114"/>
      <c r="M55" s="114"/>
      <c r="N55" s="114"/>
      <c r="O55" s="114"/>
      <c r="P55" s="77">
        <v>0.5</v>
      </c>
      <c r="Q55" s="84"/>
      <c r="T55" s="415"/>
      <c r="U55" s="454"/>
      <c r="V55" s="58"/>
      <c r="W55" s="86"/>
    </row>
    <row r="56" spans="1:61">
      <c r="A56" s="36" t="s">
        <v>340</v>
      </c>
      <c r="B56" s="101"/>
      <c r="C56" s="101"/>
      <c r="D56" s="80">
        <f t="shared" ref="D56:V56" si="7">($P$55*(D16/100-1)+1)*D6/100</f>
        <v>1.0256528868360277</v>
      </c>
      <c r="E56" s="80">
        <f t="shared" si="7"/>
        <v>1.0608863873913521</v>
      </c>
      <c r="F56" s="80">
        <f t="shared" si="7"/>
        <v>1.038875319966664</v>
      </c>
      <c r="G56" s="80">
        <f t="shared" si="7"/>
        <v>1.0408305324651481</v>
      </c>
      <c r="H56" s="80">
        <f t="shared" si="7"/>
        <v>1.0613969511499228</v>
      </c>
      <c r="I56" s="80">
        <f t="shared" si="7"/>
        <v>1.0638703520619681</v>
      </c>
      <c r="J56" s="80">
        <f t="shared" si="7"/>
        <v>1.0494780791672451</v>
      </c>
      <c r="K56" s="80">
        <f t="shared" si="7"/>
        <v>1.0448023722174207</v>
      </c>
      <c r="L56" s="80">
        <f t="shared" si="7"/>
        <v>1.0680264789612437</v>
      </c>
      <c r="M56" s="80">
        <f t="shared" si="7"/>
        <v>1.0437413921257719</v>
      </c>
      <c r="N56" s="80">
        <f t="shared" si="7"/>
        <v>1.0145549203768214</v>
      </c>
      <c r="O56" s="80">
        <f t="shared" si="7"/>
        <v>1.0170075548486692</v>
      </c>
      <c r="P56" s="80">
        <f t="shared" si="7"/>
        <v>1.0118334151447033</v>
      </c>
      <c r="Q56" s="80">
        <f t="shared" si="7"/>
        <v>1.0094086836937008</v>
      </c>
      <c r="R56" s="80">
        <f t="shared" si="7"/>
        <v>1.0444796178343949</v>
      </c>
      <c r="S56" s="80">
        <f t="shared" si="7"/>
        <v>1.0434480687926146</v>
      </c>
      <c r="T56" s="80">
        <f t="shared" si="7"/>
        <v>1.0470583506471682</v>
      </c>
      <c r="U56" s="80">
        <f t="shared" si="7"/>
        <v>1.0225910442336339</v>
      </c>
      <c r="V56" s="87">
        <f t="shared" si="7"/>
        <v>1.0821547985971784</v>
      </c>
      <c r="W56" s="88">
        <f t="shared" ref="W56:BI56" si="8">$P$55*(W26-1)+1</f>
        <v>1.0199958103984357</v>
      </c>
      <c r="X56" s="80">
        <f t="shared" si="8"/>
        <v>1.0170727678453106</v>
      </c>
      <c r="Y56" s="80">
        <f t="shared" si="8"/>
        <v>1.0161606564426955</v>
      </c>
      <c r="Z56" s="80">
        <f t="shared" si="8"/>
        <v>1.0167545259640445</v>
      </c>
      <c r="AA56" s="80">
        <f t="shared" si="8"/>
        <v>1.0163466905478487</v>
      </c>
      <c r="AB56" s="80">
        <f t="shared" si="8"/>
        <v>1.0164406629982259</v>
      </c>
      <c r="AC56" s="80">
        <f t="shared" si="8"/>
        <v>1.016032521509203</v>
      </c>
      <c r="AD56" s="80">
        <f t="shared" si="8"/>
        <v>1.0156220520729144</v>
      </c>
      <c r="AE56" s="80">
        <f t="shared" si="8"/>
        <v>1.0152085976407792</v>
      </c>
      <c r="AF56" s="80">
        <f t="shared" si="8"/>
        <v>1.015307612686176</v>
      </c>
      <c r="AG56" s="80">
        <f t="shared" si="8"/>
        <v>1.0148988010099251</v>
      </c>
      <c r="AH56" s="80">
        <f t="shared" si="8"/>
        <v>1.0149849903827768</v>
      </c>
      <c r="AI56" s="80">
        <f t="shared" si="8"/>
        <v>1.0145613691379374</v>
      </c>
      <c r="AJ56" s="80">
        <f t="shared" si="8"/>
        <v>1.0141277813214333</v>
      </c>
      <c r="AK56" s="80">
        <f t="shared" si="8"/>
        <v>1.0136936152097111</v>
      </c>
      <c r="AL56" s="80">
        <f t="shared" si="8"/>
        <v>1.0132512055919944</v>
      </c>
      <c r="AM56" s="80">
        <f t="shared" si="8"/>
        <v>1.0128009588122437</v>
      </c>
      <c r="AN56" s="80">
        <f t="shared" si="8"/>
        <v>1.0123424235632985</v>
      </c>
      <c r="AO56" s="80">
        <f t="shared" si="8"/>
        <v>1.0123823342295184</v>
      </c>
      <c r="AP56" s="80">
        <f t="shared" si="8"/>
        <v>1.011408528092296</v>
      </c>
      <c r="AQ56" s="80">
        <f t="shared" si="8"/>
        <v>1.0114391586966223</v>
      </c>
      <c r="AR56" s="80">
        <f t="shared" si="8"/>
        <v>1.0114649987554274</v>
      </c>
      <c r="AS56" s="80">
        <f t="shared" si="8"/>
        <v>1.0109886683749356</v>
      </c>
      <c r="AT56" s="80">
        <f t="shared" si="8"/>
        <v>1.0105100761587926</v>
      </c>
      <c r="AU56" s="80">
        <f t="shared" si="8"/>
        <v>1.0100293908464826</v>
      </c>
      <c r="AV56" s="80">
        <f t="shared" si="8"/>
        <v>1.0100514116581181</v>
      </c>
      <c r="AW56" s="80">
        <f t="shared" si="8"/>
        <v>1.0100682444460214</v>
      </c>
      <c r="AX56" s="80">
        <f t="shared" si="8"/>
        <v>1.0100835345838854</v>
      </c>
      <c r="AY56" s="80">
        <f t="shared" si="8"/>
        <v>1.0095918689904726</v>
      </c>
      <c r="AZ56" s="80">
        <f t="shared" si="8"/>
        <v>1.0095084744902243</v>
      </c>
      <c r="BA56" s="80">
        <f t="shared" si="8"/>
        <v>1.0095084744902243</v>
      </c>
      <c r="BB56" s="80">
        <f t="shared" si="8"/>
        <v>1.0095084744902243</v>
      </c>
      <c r="BC56" s="80">
        <f t="shared" si="8"/>
        <v>1.0095084744902243</v>
      </c>
      <c r="BD56" s="80">
        <f t="shared" si="8"/>
        <v>1.0095084744902243</v>
      </c>
      <c r="BE56" s="80">
        <f t="shared" si="8"/>
        <v>1.0100109483309445</v>
      </c>
      <c r="BF56" s="80">
        <f t="shared" si="8"/>
        <v>1.0100109483309445</v>
      </c>
      <c r="BG56" s="80">
        <f t="shared" si="8"/>
        <v>1.0100109483309445</v>
      </c>
      <c r="BH56" s="80">
        <f t="shared" si="8"/>
        <v>1.0105134221716647</v>
      </c>
      <c r="BI56" s="80">
        <f t="shared" si="8"/>
        <v>1.0105134221716647</v>
      </c>
    </row>
    <row r="57" spans="1:61">
      <c r="A57" s="72" t="s">
        <v>39</v>
      </c>
      <c r="B57" s="40"/>
      <c r="C57" s="40"/>
      <c r="D57" s="40"/>
      <c r="E57" s="40"/>
      <c r="F57" s="40"/>
      <c r="G57" s="40"/>
      <c r="H57" s="40"/>
      <c r="I57" s="115"/>
      <c r="J57" s="115"/>
      <c r="K57" s="115"/>
      <c r="L57" s="115"/>
      <c r="M57" s="115"/>
      <c r="N57" s="115"/>
      <c r="O57" s="115"/>
      <c r="P57" s="115"/>
      <c r="Q57" s="115"/>
      <c r="R57" s="115"/>
      <c r="S57" s="115"/>
      <c r="T57" s="115"/>
      <c r="U57" s="115"/>
      <c r="V57" s="116"/>
      <c r="W57" s="117"/>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row>
    <row r="58" spans="1:61">
      <c r="A58" s="36" t="s">
        <v>40</v>
      </c>
      <c r="B58" s="101"/>
      <c r="C58" s="101"/>
      <c r="D58" s="80">
        <f>D$6/100</f>
        <v>1.008</v>
      </c>
      <c r="E58" s="80">
        <f t="shared" ref="E58:V58" si="9">E$6/100</f>
        <v>1.0349999999999999</v>
      </c>
      <c r="F58" s="80">
        <f t="shared" si="9"/>
        <v>1.0209999999999999</v>
      </c>
      <c r="G58" s="80">
        <f t="shared" si="9"/>
        <v>1.01</v>
      </c>
      <c r="H58" s="80">
        <f t="shared" si="9"/>
        <v>1.0249999999999999</v>
      </c>
      <c r="I58" s="80">
        <f t="shared" si="9"/>
        <v>1.042</v>
      </c>
      <c r="J58" s="80">
        <f t="shared" si="9"/>
        <v>1.0349999999999999</v>
      </c>
      <c r="K58" s="80">
        <f t="shared" si="9"/>
        <v>1.026</v>
      </c>
      <c r="L58" s="80">
        <f t="shared" si="9"/>
        <v>1.0429999999999999</v>
      </c>
      <c r="M58" s="80">
        <f t="shared" si="9"/>
        <v>1.0369999999999999</v>
      </c>
      <c r="N58" s="80">
        <f t="shared" si="9"/>
        <v>1.0090000000000001</v>
      </c>
      <c r="O58" s="80">
        <f t="shared" si="9"/>
        <v>1</v>
      </c>
      <c r="P58" s="80">
        <f t="shared" si="9"/>
        <v>0.99099999999999999</v>
      </c>
      <c r="Q58" s="80">
        <f t="shared" si="9"/>
        <v>0.99400000000000011</v>
      </c>
      <c r="R58" s="80">
        <f t="shared" si="9"/>
        <v>1.02</v>
      </c>
      <c r="S58" s="80">
        <f t="shared" si="9"/>
        <v>1.016</v>
      </c>
      <c r="T58" s="80">
        <f t="shared" si="9"/>
        <v>1.0229999999999999</v>
      </c>
      <c r="U58" s="80">
        <f t="shared" si="9"/>
        <v>1.034</v>
      </c>
      <c r="V58" s="87">
        <f t="shared" si="9"/>
        <v>1.0509999999999999</v>
      </c>
      <c r="W58" s="89">
        <v>1</v>
      </c>
      <c r="X58" s="85">
        <v>1</v>
      </c>
      <c r="Y58" s="85">
        <v>1</v>
      </c>
      <c r="Z58" s="85">
        <v>1</v>
      </c>
      <c r="AA58" s="85">
        <v>1</v>
      </c>
      <c r="AB58" s="85">
        <v>1</v>
      </c>
      <c r="AC58" s="85">
        <v>1</v>
      </c>
      <c r="AD58" s="85">
        <v>1</v>
      </c>
      <c r="AE58" s="85">
        <v>1</v>
      </c>
      <c r="AF58" s="85">
        <v>1</v>
      </c>
      <c r="AG58" s="85">
        <v>1</v>
      </c>
      <c r="AH58" s="85">
        <v>1</v>
      </c>
      <c r="AI58" s="85">
        <v>1</v>
      </c>
      <c r="AJ58" s="85">
        <v>1</v>
      </c>
      <c r="AK58" s="85">
        <v>1</v>
      </c>
      <c r="AL58" s="85">
        <v>1</v>
      </c>
      <c r="AM58" s="85">
        <v>1</v>
      </c>
      <c r="AN58" s="85">
        <v>1</v>
      </c>
      <c r="AO58" s="85">
        <v>1</v>
      </c>
      <c r="AP58" s="85">
        <v>1</v>
      </c>
      <c r="AQ58" s="85">
        <v>1</v>
      </c>
      <c r="AR58" s="85">
        <v>1</v>
      </c>
      <c r="AS58" s="85">
        <v>1</v>
      </c>
      <c r="AT58" s="85">
        <v>1</v>
      </c>
      <c r="AU58" s="85">
        <v>1</v>
      </c>
      <c r="AV58" s="85">
        <v>1</v>
      </c>
      <c r="AW58" s="85">
        <v>1</v>
      </c>
      <c r="AX58" s="85">
        <v>1</v>
      </c>
      <c r="AY58" s="85">
        <v>1</v>
      </c>
      <c r="AZ58" s="85">
        <v>1</v>
      </c>
      <c r="BA58" s="85">
        <v>1</v>
      </c>
      <c r="BB58" s="85">
        <v>1</v>
      </c>
      <c r="BC58" s="85">
        <v>1</v>
      </c>
      <c r="BD58" s="85">
        <v>1</v>
      </c>
      <c r="BE58" s="85">
        <v>1</v>
      </c>
      <c r="BF58" s="85">
        <v>1</v>
      </c>
      <c r="BG58" s="85">
        <v>1</v>
      </c>
      <c r="BH58" s="85">
        <v>1</v>
      </c>
      <c r="BI58" s="85">
        <v>1</v>
      </c>
    </row>
    <row r="59" spans="1:61" ht="15" customHeight="1">
      <c r="A59" s="74" t="s">
        <v>341</v>
      </c>
      <c r="B59" s="40"/>
      <c r="C59" s="40"/>
      <c r="D59" s="40"/>
      <c r="E59" s="40"/>
      <c r="F59" s="40"/>
      <c r="G59" s="40"/>
      <c r="H59" s="40"/>
      <c r="I59" s="40"/>
      <c r="J59" s="40"/>
      <c r="K59" s="40"/>
      <c r="L59" s="40"/>
      <c r="M59" s="40"/>
      <c r="N59" s="40"/>
      <c r="O59" s="40"/>
      <c r="P59" s="50"/>
      <c r="Q59" s="79"/>
      <c r="T59" s="415"/>
      <c r="U59" s="454"/>
      <c r="V59" s="58"/>
      <c r="W59" s="59"/>
    </row>
    <row r="60" spans="1:61" ht="15" customHeight="1">
      <c r="A60" s="73" t="s">
        <v>342</v>
      </c>
      <c r="B60" s="114"/>
      <c r="C60" s="114"/>
      <c r="D60" s="114"/>
      <c r="E60" s="114"/>
      <c r="F60" s="114"/>
      <c r="G60" s="114"/>
      <c r="H60" s="114"/>
      <c r="I60" s="114"/>
      <c r="J60" s="114"/>
      <c r="K60" s="114"/>
      <c r="L60" s="114"/>
      <c r="M60" s="114"/>
      <c r="N60" s="114"/>
      <c r="O60" s="114"/>
      <c r="P60" s="78">
        <v>0.8</v>
      </c>
      <c r="Q60" s="84"/>
      <c r="T60" s="415"/>
      <c r="U60" s="454"/>
      <c r="V60" s="58"/>
      <c r="W60" s="59"/>
    </row>
    <row r="61" spans="1:61">
      <c r="A61" s="36" t="s">
        <v>343</v>
      </c>
      <c r="B61" s="101"/>
      <c r="C61" s="101"/>
      <c r="D61" s="80">
        <f t="shared" ref="D61:V61" si="10">($P$60*(D16/100-1)+1)*D6/100</f>
        <v>1.0362446189376444</v>
      </c>
      <c r="E61" s="80">
        <f t="shared" si="10"/>
        <v>1.0764182198261636</v>
      </c>
      <c r="F61" s="80">
        <f t="shared" si="10"/>
        <v>1.0496005119466623</v>
      </c>
      <c r="G61" s="80">
        <f t="shared" si="10"/>
        <v>1.0593288519442365</v>
      </c>
      <c r="H61" s="80">
        <f t="shared" si="10"/>
        <v>1.0832351218398764</v>
      </c>
      <c r="I61" s="80">
        <f t="shared" si="10"/>
        <v>1.0769925632991486</v>
      </c>
      <c r="J61" s="80">
        <f t="shared" si="10"/>
        <v>1.0581649266675923</v>
      </c>
      <c r="K61" s="80">
        <f t="shared" si="10"/>
        <v>1.056083795547873</v>
      </c>
      <c r="L61" s="80">
        <f t="shared" si="10"/>
        <v>1.0830423663379902</v>
      </c>
      <c r="M61" s="80">
        <f t="shared" si="10"/>
        <v>1.0477862274012348</v>
      </c>
      <c r="N61" s="80">
        <f t="shared" si="10"/>
        <v>1.0178878726029139</v>
      </c>
      <c r="O61" s="80">
        <f t="shared" si="10"/>
        <v>1.0272120877578708</v>
      </c>
      <c r="P61" s="80">
        <f t="shared" si="10"/>
        <v>1.0243334642315254</v>
      </c>
      <c r="Q61" s="80">
        <f t="shared" si="10"/>
        <v>1.018653893909921</v>
      </c>
      <c r="R61" s="80">
        <f t="shared" si="10"/>
        <v>1.0591673885350317</v>
      </c>
      <c r="S61" s="80">
        <f t="shared" si="10"/>
        <v>1.0599169100681833</v>
      </c>
      <c r="T61" s="80">
        <f t="shared" si="10"/>
        <v>1.0614933610354693</v>
      </c>
      <c r="U61" s="80">
        <f t="shared" si="10"/>
        <v>1.0157456707738142</v>
      </c>
      <c r="V61" s="87">
        <f t="shared" si="10"/>
        <v>1.1008476777554856</v>
      </c>
      <c r="W61" s="88">
        <f t="shared" ref="W61:BI61" si="11">$P$60*(W26-1)+1</f>
        <v>1.0319932966374972</v>
      </c>
      <c r="X61" s="80">
        <f t="shared" si="11"/>
        <v>1.0273164285524969</v>
      </c>
      <c r="Y61" s="80">
        <f t="shared" si="11"/>
        <v>1.0258570503083129</v>
      </c>
      <c r="Z61" s="80">
        <f t="shared" si="11"/>
        <v>1.0268072415424712</v>
      </c>
      <c r="AA61" s="80">
        <f t="shared" si="11"/>
        <v>1.0261547048765578</v>
      </c>
      <c r="AB61" s="80">
        <f t="shared" si="11"/>
        <v>1.0263050607971613</v>
      </c>
      <c r="AC61" s="80">
        <f t="shared" si="11"/>
        <v>1.0256520344147249</v>
      </c>
      <c r="AD61" s="80">
        <f t="shared" si="11"/>
        <v>1.0249952833166629</v>
      </c>
      <c r="AE61" s="80">
        <f t="shared" si="11"/>
        <v>1.0243337562252468</v>
      </c>
      <c r="AF61" s="80">
        <f t="shared" si="11"/>
        <v>1.0244921802978815</v>
      </c>
      <c r="AG61" s="80">
        <f t="shared" si="11"/>
        <v>1.0238380816158801</v>
      </c>
      <c r="AH61" s="80">
        <f t="shared" si="11"/>
        <v>1.0239759846124428</v>
      </c>
      <c r="AI61" s="80">
        <f t="shared" si="11"/>
        <v>1.0232981906206997</v>
      </c>
      <c r="AJ61" s="80">
        <f t="shared" si="11"/>
        <v>1.0226044501142932</v>
      </c>
      <c r="AK61" s="80">
        <f t="shared" si="11"/>
        <v>1.021909784335538</v>
      </c>
      <c r="AL61" s="80">
        <f t="shared" si="11"/>
        <v>1.0212019289471912</v>
      </c>
      <c r="AM61" s="80">
        <f t="shared" si="11"/>
        <v>1.0204815340995899</v>
      </c>
      <c r="AN61" s="80">
        <f t="shared" si="11"/>
        <v>1.0197478777012778</v>
      </c>
      <c r="AO61" s="80">
        <f t="shared" si="11"/>
        <v>1.0198117347672293</v>
      </c>
      <c r="AP61" s="80">
        <f t="shared" si="11"/>
        <v>1.0182536449476733</v>
      </c>
      <c r="AQ61" s="80">
        <f t="shared" si="11"/>
        <v>1.0183026539145956</v>
      </c>
      <c r="AR61" s="80">
        <f t="shared" si="11"/>
        <v>1.0183439980086839</v>
      </c>
      <c r="AS61" s="80">
        <f t="shared" si="11"/>
        <v>1.0175818693998968</v>
      </c>
      <c r="AT61" s="80">
        <f t="shared" si="11"/>
        <v>1.0168161218540681</v>
      </c>
      <c r="AU61" s="80">
        <f t="shared" si="11"/>
        <v>1.0160470253543721</v>
      </c>
      <c r="AV61" s="80">
        <f t="shared" si="11"/>
        <v>1.0160822586529887</v>
      </c>
      <c r="AW61" s="80">
        <f t="shared" si="11"/>
        <v>1.0161091911136342</v>
      </c>
      <c r="AX61" s="80">
        <f t="shared" si="11"/>
        <v>1.0161336553342166</v>
      </c>
      <c r="AY61" s="80">
        <f t="shared" si="11"/>
        <v>1.0153469903847561</v>
      </c>
      <c r="AZ61" s="80">
        <f t="shared" si="11"/>
        <v>1.015213559184359</v>
      </c>
      <c r="BA61" s="80">
        <f t="shared" si="11"/>
        <v>1.015213559184359</v>
      </c>
      <c r="BB61" s="80">
        <f t="shared" si="11"/>
        <v>1.015213559184359</v>
      </c>
      <c r="BC61" s="80">
        <f t="shared" si="11"/>
        <v>1.015213559184359</v>
      </c>
      <c r="BD61" s="80">
        <f t="shared" si="11"/>
        <v>1.015213559184359</v>
      </c>
      <c r="BE61" s="80">
        <f t="shared" si="11"/>
        <v>1.0160175173295112</v>
      </c>
      <c r="BF61" s="80">
        <f t="shared" si="11"/>
        <v>1.0160175173295112</v>
      </c>
      <c r="BG61" s="80">
        <f t="shared" si="11"/>
        <v>1.0160175173295112</v>
      </c>
      <c r="BH61" s="80">
        <f t="shared" si="11"/>
        <v>1.0168214754746636</v>
      </c>
      <c r="BI61" s="80">
        <f t="shared" si="11"/>
        <v>1.0168214754746636</v>
      </c>
    </row>
    <row r="62" spans="1:61">
      <c r="A62" s="74" t="s">
        <v>344</v>
      </c>
      <c r="B62" s="40"/>
      <c r="C62" s="40"/>
      <c r="D62" s="40"/>
      <c r="E62" s="40"/>
      <c r="F62" s="40"/>
      <c r="G62" s="40"/>
      <c r="H62" s="40"/>
      <c r="I62" s="40"/>
      <c r="J62" s="40"/>
      <c r="K62" s="40"/>
      <c r="L62" s="40"/>
      <c r="M62" s="40"/>
      <c r="N62" s="40"/>
      <c r="O62" s="40"/>
      <c r="P62" s="50"/>
      <c r="Q62" s="79"/>
      <c r="T62" s="415"/>
      <c r="U62" s="454"/>
      <c r="V62" s="58"/>
      <c r="W62" s="59"/>
    </row>
    <row r="63" spans="1:61" ht="30">
      <c r="A63" s="119" t="s">
        <v>345</v>
      </c>
      <c r="B63" s="105"/>
      <c r="C63" s="105"/>
      <c r="D63" s="105"/>
      <c r="E63" s="105"/>
      <c r="F63" s="105"/>
      <c r="G63" s="105"/>
      <c r="H63" s="105"/>
      <c r="I63" s="105"/>
      <c r="J63" s="105"/>
      <c r="K63" s="105"/>
      <c r="L63" s="105"/>
      <c r="M63" s="105"/>
      <c r="N63" s="105"/>
      <c r="O63" s="105"/>
      <c r="P63" s="105"/>
      <c r="Q63" s="392">
        <v>1</v>
      </c>
      <c r="R63" s="80">
        <f t="shared" ref="R63:AP63" si="12">Q63*R61</f>
        <v>1.0591673885350317</v>
      </c>
      <c r="S63" s="80">
        <f t="shared" si="12"/>
        <v>1.1226294257010379</v>
      </c>
      <c r="T63" s="80">
        <f t="shared" si="12"/>
        <v>1.1916636822847133</v>
      </c>
      <c r="U63" s="80">
        <f t="shared" ref="U63" si="13">T63*U61</f>
        <v>1.2104272262990794</v>
      </c>
      <c r="V63" s="87">
        <f t="shared" ref="V63" si="14">U63*V61</f>
        <v>1.3324960011633553</v>
      </c>
      <c r="W63" s="88">
        <f t="shared" ref="W63" si="15">V63*W61</f>
        <v>1.3751269409968534</v>
      </c>
      <c r="X63" s="80">
        <f t="shared" si="12"/>
        <v>1.4126904978312076</v>
      </c>
      <c r="Y63" s="80">
        <f t="shared" si="12"/>
        <v>1.4492185071037047</v>
      </c>
      <c r="Z63" s="80">
        <f t="shared" si="12"/>
        <v>1.4880680576714531</v>
      </c>
      <c r="AA63" s="80">
        <f t="shared" si="12"/>
        <v>1.5269880385560826</v>
      </c>
      <c r="AB63" s="80">
        <f t="shared" si="12"/>
        <v>1.5671555517468385</v>
      </c>
      <c r="AC63" s="80">
        <f t="shared" si="12"/>
        <v>1.6073562798934755</v>
      </c>
      <c r="AD63" s="80">
        <f t="shared" si="12"/>
        <v>1.6475326055002302</v>
      </c>
      <c r="AE63" s="80">
        <f t="shared" si="12"/>
        <v>1.6876232622956184</v>
      </c>
      <c r="AF63" s="80">
        <f t="shared" si="12"/>
        <v>1.7289568355106617</v>
      </c>
      <c r="AG63" s="80">
        <f t="shared" si="12"/>
        <v>1.7701718496658987</v>
      </c>
      <c r="AH63" s="80">
        <f t="shared" si="12"/>
        <v>1.8126134626948676</v>
      </c>
      <c r="AI63" s="80">
        <f t="shared" si="12"/>
        <v>1.8548440766703791</v>
      </c>
      <c r="AJ63" s="80">
        <f t="shared" si="12"/>
        <v>1.8967718070712669</v>
      </c>
      <c r="AK63" s="80">
        <f t="shared" si="12"/>
        <v>1.9383296682979272</v>
      </c>
      <c r="AL63" s="80">
        <f t="shared" si="12"/>
        <v>1.9794259962014125</v>
      </c>
      <c r="AM63" s="80">
        <f t="shared" si="12"/>
        <v>2.0199676772402264</v>
      </c>
      <c r="AN63" s="80">
        <f t="shared" si="12"/>
        <v>2.0598577518909007</v>
      </c>
      <c r="AO63" s="80">
        <f t="shared" si="12"/>
        <v>2.1006671073295844</v>
      </c>
      <c r="AP63" s="80">
        <f t="shared" si="12"/>
        <v>2.1390119388600346</v>
      </c>
      <c r="AQ63" s="80">
        <f t="shared" ref="AQ63:BI63" si="16">AP63*AQ61</f>
        <v>2.1781615340961782</v>
      </c>
      <c r="AR63" s="80">
        <f t="shared" si="16"/>
        <v>2.2181177249402304</v>
      </c>
      <c r="AS63" s="80">
        <f t="shared" si="16"/>
        <v>2.2571163810937258</v>
      </c>
      <c r="AT63" s="80">
        <f t="shared" si="16"/>
        <v>2.2950723251970113</v>
      </c>
      <c r="AU63" s="80">
        <f t="shared" si="16"/>
        <v>2.3319014089895655</v>
      </c>
      <c r="AV63" s="80">
        <f t="shared" si="16"/>
        <v>2.3694036506022047</v>
      </c>
      <c r="AW63" s="80">
        <f t="shared" si="16"/>
        <v>2.4075728268350982</v>
      </c>
      <c r="AX63" s="80">
        <f t="shared" si="16"/>
        <v>2.4464157770152815</v>
      </c>
      <c r="AY63" s="80">
        <f t="shared" si="16"/>
        <v>2.4839608964222504</v>
      </c>
      <c r="AZ63" s="80">
        <f t="shared" si="16"/>
        <v>2.5217507825316035</v>
      </c>
      <c r="BA63" s="80">
        <f t="shared" si="16"/>
        <v>2.5601155873098516</v>
      </c>
      <c r="BB63" s="80">
        <f t="shared" si="16"/>
        <v>2.5990640573161898</v>
      </c>
      <c r="BC63" s="80">
        <f t="shared" si="16"/>
        <v>2.6386050721761096</v>
      </c>
      <c r="BD63" s="80">
        <f t="shared" si="16"/>
        <v>2.6787476466058107</v>
      </c>
      <c r="BE63" s="80">
        <f t="shared" si="16"/>
        <v>2.7216545334567064</v>
      </c>
      <c r="BF63" s="80">
        <f t="shared" si="16"/>
        <v>2.765248682111292</v>
      </c>
      <c r="BG63" s="80">
        <f t="shared" si="16"/>
        <v>2.8095411007974178</v>
      </c>
      <c r="BH63" s="80">
        <f t="shared" si="16"/>
        <v>2.856801727519541</v>
      </c>
      <c r="BI63" s="80">
        <f t="shared" si="16"/>
        <v>2.9048573477149877</v>
      </c>
    </row>
    <row r="64" spans="1:61">
      <c r="A64" s="72" t="s">
        <v>227</v>
      </c>
      <c r="B64" s="40"/>
      <c r="C64" s="40"/>
      <c r="D64" s="40"/>
      <c r="E64" s="40"/>
      <c r="F64" s="40"/>
      <c r="G64" s="40"/>
      <c r="H64" s="40"/>
      <c r="I64" s="115"/>
      <c r="J64" s="115"/>
      <c r="K64" s="115"/>
      <c r="L64" s="115"/>
      <c r="M64" s="115"/>
      <c r="N64" s="115"/>
      <c r="O64" s="115"/>
      <c r="P64" s="115"/>
      <c r="Q64" s="115"/>
      <c r="R64" s="115"/>
      <c r="S64" s="115"/>
      <c r="T64" s="115"/>
      <c r="U64" s="115"/>
      <c r="V64" s="116"/>
      <c r="W64" s="117"/>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row>
    <row r="65" spans="1:61">
      <c r="A65" s="36" t="s">
        <v>228</v>
      </c>
      <c r="B65" s="101"/>
      <c r="C65" s="101"/>
      <c r="D65" s="101"/>
      <c r="E65" s="101"/>
      <c r="F65" s="101"/>
      <c r="G65" s="101"/>
      <c r="H65" s="101"/>
      <c r="I65" s="101"/>
      <c r="J65" s="101"/>
      <c r="K65" s="101"/>
      <c r="L65" s="101"/>
      <c r="M65" s="101"/>
      <c r="N65" s="392">
        <v>1</v>
      </c>
      <c r="O65" s="80">
        <f>O49/100</f>
        <v>0.98799999999999999</v>
      </c>
      <c r="P65" s="80">
        <f t="shared" ref="P65:V65" si="17">P49/100</f>
        <v>0.995</v>
      </c>
      <c r="Q65" s="80">
        <f t="shared" si="17"/>
        <v>0.996</v>
      </c>
      <c r="R65" s="80">
        <f t="shared" si="17"/>
        <v>1.006</v>
      </c>
      <c r="S65" s="80">
        <f t="shared" si="17"/>
        <v>1.0270000000000001</v>
      </c>
      <c r="T65" s="80">
        <f t="shared" si="17"/>
        <v>1.0349999999999999</v>
      </c>
      <c r="U65" s="80">
        <f t="shared" si="17"/>
        <v>1.026</v>
      </c>
      <c r="V65" s="87">
        <f t="shared" si="17"/>
        <v>1.042</v>
      </c>
      <c r="W65" s="89">
        <v>1</v>
      </c>
      <c r="X65" s="85">
        <v>1</v>
      </c>
      <c r="Y65" s="85">
        <v>1</v>
      </c>
      <c r="Z65" s="85">
        <v>1</v>
      </c>
      <c r="AA65" s="85">
        <v>1</v>
      </c>
      <c r="AB65" s="85">
        <v>1</v>
      </c>
      <c r="AC65" s="85">
        <v>1</v>
      </c>
      <c r="AD65" s="85">
        <v>1</v>
      </c>
      <c r="AE65" s="85">
        <v>1</v>
      </c>
      <c r="AF65" s="85">
        <v>1</v>
      </c>
      <c r="AG65" s="85">
        <v>1</v>
      </c>
      <c r="AH65" s="85">
        <v>1</v>
      </c>
      <c r="AI65" s="85">
        <v>1</v>
      </c>
      <c r="AJ65" s="85">
        <v>1</v>
      </c>
      <c r="AK65" s="85">
        <v>1</v>
      </c>
      <c r="AL65" s="85">
        <v>1</v>
      </c>
      <c r="AM65" s="85">
        <v>1</v>
      </c>
      <c r="AN65" s="85">
        <v>1</v>
      </c>
      <c r="AO65" s="85">
        <v>1</v>
      </c>
      <c r="AP65" s="85">
        <v>1</v>
      </c>
      <c r="AQ65" s="85">
        <v>1</v>
      </c>
      <c r="AR65" s="85">
        <v>1</v>
      </c>
      <c r="AS65" s="85">
        <v>1</v>
      </c>
      <c r="AT65" s="85">
        <v>1</v>
      </c>
      <c r="AU65" s="85">
        <v>1</v>
      </c>
      <c r="AV65" s="85">
        <v>1</v>
      </c>
      <c r="AW65" s="85">
        <v>1</v>
      </c>
      <c r="AX65" s="85">
        <v>1</v>
      </c>
      <c r="AY65" s="85">
        <v>1</v>
      </c>
      <c r="AZ65" s="85">
        <v>1</v>
      </c>
      <c r="BA65" s="85">
        <v>1</v>
      </c>
      <c r="BB65" s="85">
        <v>1</v>
      </c>
      <c r="BC65" s="85">
        <v>1</v>
      </c>
      <c r="BD65" s="85">
        <v>1</v>
      </c>
      <c r="BE65" s="85">
        <v>1</v>
      </c>
      <c r="BF65" s="85">
        <v>1</v>
      </c>
      <c r="BG65" s="85">
        <v>1</v>
      </c>
      <c r="BH65" s="85">
        <v>1</v>
      </c>
      <c r="BI65" s="85">
        <v>1</v>
      </c>
    </row>
    <row r="66" spans="1:61">
      <c r="B66" s="76"/>
      <c r="C66" s="76"/>
      <c r="D66" s="76"/>
      <c r="E66" s="76"/>
      <c r="F66" s="76"/>
      <c r="G66" s="76"/>
      <c r="H66" s="76"/>
      <c r="I66" s="76"/>
      <c r="J66" s="76"/>
      <c r="K66" s="76"/>
      <c r="L66" s="76"/>
      <c r="M66" s="76"/>
      <c r="N66" s="76"/>
      <c r="O66" s="76"/>
    </row>
    <row r="67" spans="1:61" ht="18.75">
      <c r="A67" s="75" t="s">
        <v>346</v>
      </c>
      <c r="B67" s="76"/>
      <c r="C67" s="76"/>
      <c r="D67" s="76"/>
      <c r="E67" s="76"/>
      <c r="F67" s="76"/>
      <c r="G67" s="76"/>
      <c r="H67" s="76"/>
      <c r="I67" s="76"/>
      <c r="J67" s="76"/>
      <c r="K67" s="76"/>
      <c r="L67" s="76"/>
      <c r="M67" s="76"/>
      <c r="N67" s="76"/>
      <c r="O67" s="76"/>
    </row>
    <row r="68" spans="1:61" s="454" customFormat="1" ht="18.75" customHeight="1">
      <c r="A68" s="647" t="s">
        <v>347</v>
      </c>
      <c r="B68" s="647"/>
      <c r="C68" s="647"/>
      <c r="D68" s="647"/>
      <c r="E68" s="647"/>
      <c r="F68" s="647"/>
      <c r="G68" s="647"/>
      <c r="H68" s="647"/>
      <c r="I68" s="647"/>
      <c r="J68" s="647"/>
      <c r="K68" s="647"/>
      <c r="L68" s="647"/>
      <c r="M68" s="647"/>
      <c r="N68" s="647"/>
      <c r="O68" s="647"/>
      <c r="P68" s="647"/>
      <c r="Q68" s="647"/>
      <c r="R68" s="647"/>
      <c r="S68" s="647"/>
      <c r="T68" s="647"/>
      <c r="U68" s="647"/>
    </row>
    <row r="69" spans="1:61" s="454" customFormat="1" ht="18.75" customHeight="1">
      <c r="A69" s="647"/>
      <c r="B69" s="647"/>
      <c r="C69" s="647"/>
      <c r="D69" s="647"/>
      <c r="E69" s="647"/>
      <c r="F69" s="647"/>
      <c r="G69" s="647"/>
      <c r="H69" s="647"/>
      <c r="I69" s="647"/>
      <c r="J69" s="647"/>
      <c r="K69" s="647"/>
      <c r="L69" s="647"/>
      <c r="M69" s="647"/>
      <c r="N69" s="647"/>
      <c r="O69" s="647"/>
      <c r="P69" s="647"/>
      <c r="Q69" s="647"/>
      <c r="R69" s="647"/>
      <c r="S69" s="647"/>
      <c r="T69" s="647"/>
      <c r="U69" s="647"/>
    </row>
    <row r="70" spans="1:61">
      <c r="A70" s="76" t="s">
        <v>348</v>
      </c>
    </row>
    <row r="71" spans="1:61">
      <c r="A71" s="644" t="s">
        <v>23</v>
      </c>
      <c r="B71" s="644"/>
      <c r="C71" s="644"/>
      <c r="D71" s="644"/>
      <c r="E71" s="644"/>
      <c r="F71" s="644"/>
      <c r="G71" s="644"/>
      <c r="H71" s="644"/>
      <c r="I71" s="644"/>
      <c r="J71" s="644"/>
      <c r="K71" s="644"/>
      <c r="L71" s="644"/>
      <c r="M71" s="644"/>
      <c r="N71" s="644"/>
      <c r="O71" s="644"/>
      <c r="P71" s="644"/>
      <c r="Q71" s="644"/>
      <c r="R71" s="644"/>
      <c r="S71" s="644"/>
      <c r="T71" s="644"/>
      <c r="U71" s="644"/>
    </row>
    <row r="72" spans="1:61">
      <c r="A72" s="644"/>
      <c r="B72" s="644"/>
      <c r="C72" s="644"/>
      <c r="D72" s="644"/>
      <c r="E72" s="644"/>
      <c r="F72" s="644"/>
      <c r="G72" s="644"/>
      <c r="H72" s="644"/>
      <c r="I72" s="644"/>
      <c r="J72" s="644"/>
      <c r="K72" s="644"/>
      <c r="L72" s="644"/>
      <c r="M72" s="644"/>
      <c r="N72" s="644"/>
      <c r="O72" s="644"/>
      <c r="P72" s="644"/>
      <c r="Q72" s="644"/>
      <c r="R72" s="644"/>
      <c r="S72" s="644"/>
      <c r="T72" s="644"/>
      <c r="U72" s="644"/>
    </row>
    <row r="73" spans="1:61"/>
    <row r="74" spans="1:61" hidden="1"/>
    <row r="75" spans="1:61" hidden="1"/>
    <row r="76" spans="1:61" hidden="1"/>
    <row r="77" spans="1:61" hidden="1"/>
    <row r="78" spans="1:61" hidden="1"/>
    <row r="79" spans="1:61" hidden="1"/>
    <row r="80" spans="1:6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sheetData>
  <mergeCells count="6">
    <mergeCell ref="A71:U72"/>
    <mergeCell ref="A30:U31"/>
    <mergeCell ref="A32:U33"/>
    <mergeCell ref="A37:U39"/>
    <mergeCell ref="A46:U47"/>
    <mergeCell ref="A68:U6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29"/>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style="181" customWidth="1"/>
    <col min="2" max="2" width="9.140625" style="181" customWidth="1"/>
    <col min="3" max="15" width="1.7109375" style="181" hidden="1" customWidth="1" outlineLevel="1"/>
    <col min="16" max="16" width="9.140625" style="181" customWidth="1" collapsed="1"/>
    <col min="17" max="18" width="9.140625" style="181" customWidth="1"/>
    <col min="19" max="19" width="13.7109375" style="181" customWidth="1"/>
    <col min="20" max="20" width="12.7109375" style="181" customWidth="1"/>
    <col min="21" max="25" width="13.7109375" style="181" customWidth="1"/>
    <col min="26" max="38" width="9.140625" style="181" customWidth="1"/>
    <col min="39" max="39" width="10.7109375" style="181" customWidth="1"/>
    <col min="40" max="62" width="9.140625" style="181" customWidth="1"/>
    <col min="63" max="16384" width="9.140625" style="181" hidden="1"/>
  </cols>
  <sheetData>
    <row r="1" spans="1:61" ht="21">
      <c r="A1" s="4" t="s">
        <v>350</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181" t="str">
        <f>Indeksacja!$A$2</f>
        <v>Dla roku bazowego 2022 właściwe do zastosowania w analizie są wartości kosztów jednostkowych określone według poziomu cenowego z końca roku poprzedniego, tzn. 2021.</v>
      </c>
    </row>
    <row r="3" spans="1:61"/>
    <row r="4" spans="1:61">
      <c r="A4" s="1" t="s">
        <v>351</v>
      </c>
    </row>
    <row r="5" spans="1:61" hidden="1" outlineLevel="1">
      <c r="A5" s="1"/>
    </row>
    <row r="6" spans="1:61" s="197" customFormat="1" hidden="1" outlineLevel="1">
      <c r="A6" s="1"/>
      <c r="P6" s="1" t="s">
        <v>112</v>
      </c>
      <c r="V6" s="1" t="s">
        <v>108</v>
      </c>
      <c r="W6" s="1"/>
      <c r="Y6" s="1" t="s">
        <v>109</v>
      </c>
      <c r="Z6" s="1"/>
      <c r="AB6" s="1" t="s">
        <v>110</v>
      </c>
      <c r="AC6" s="1"/>
      <c r="AG6" s="1"/>
    </row>
    <row r="7" spans="1:61" s="197" customFormat="1" hidden="1" outlineLevel="1">
      <c r="A7" s="1"/>
      <c r="P7" s="158" t="s">
        <v>70</v>
      </c>
      <c r="Q7" s="159"/>
      <c r="R7" s="159"/>
      <c r="S7" s="170">
        <v>2030</v>
      </c>
      <c r="T7" s="170">
        <v>2050</v>
      </c>
      <c r="V7" s="170">
        <v>2030</v>
      </c>
      <c r="W7" s="170">
        <v>2050</v>
      </c>
      <c r="Y7" s="170">
        <v>2030</v>
      </c>
      <c r="Z7" s="170">
        <v>2050</v>
      </c>
      <c r="AB7" s="170">
        <v>2030</v>
      </c>
      <c r="AC7" s="170">
        <v>2050</v>
      </c>
      <c r="AG7" s="1"/>
    </row>
    <row r="8" spans="1:61" s="197" customFormat="1" hidden="1" outlineLevel="1">
      <c r="A8" s="1"/>
      <c r="P8" s="157" t="s">
        <v>71</v>
      </c>
      <c r="Q8" s="136"/>
      <c r="R8" s="136"/>
      <c r="S8" s="171">
        <v>0.27400000000000002</v>
      </c>
      <c r="T8" s="171">
        <v>0.17299999999999999</v>
      </c>
      <c r="V8" s="171">
        <v>0.26900000000000002</v>
      </c>
      <c r="W8" s="171">
        <v>0.154</v>
      </c>
      <c r="Y8" s="171">
        <v>0.26500000000000001</v>
      </c>
      <c r="Z8" s="171">
        <v>0.105</v>
      </c>
      <c r="AB8" s="171">
        <v>0.26100000000000001</v>
      </c>
      <c r="AC8" s="171">
        <v>9.4E-2</v>
      </c>
      <c r="AG8" s="1"/>
    </row>
    <row r="9" spans="1:61" s="197" customFormat="1" hidden="1" outlineLevel="1">
      <c r="A9" s="1"/>
      <c r="P9" s="157" t="s">
        <v>72</v>
      </c>
      <c r="Q9" s="136"/>
      <c r="R9" s="136"/>
      <c r="S9" s="171">
        <f>100%-SUM(S8,S10,S11,S12,S13)</f>
        <v>9.9999999999988987E-4</v>
      </c>
      <c r="T9" s="171">
        <f>100%-SUM(T8,T10,T11,T12,T13)</f>
        <v>9.000000000000008E-3</v>
      </c>
      <c r="V9" s="171">
        <f t="shared" ref="V9:W9" si="0">100%-SUM(V8,V10,V11,V12,V13)</f>
        <v>1.9999999999998908E-3</v>
      </c>
      <c r="W9" s="171">
        <f t="shared" si="0"/>
        <v>9.000000000000119E-3</v>
      </c>
      <c r="Y9" s="171">
        <f t="shared" ref="Y9:Z9" si="1">100%-SUM(Y8,Y10,Y11,Y12,Y13)</f>
        <v>9.9999999999988987E-4</v>
      </c>
      <c r="Z9" s="171">
        <f t="shared" si="1"/>
        <v>6.0000000000000053E-3</v>
      </c>
      <c r="AB9" s="171">
        <f t="shared" ref="AB9:AC9" si="2">100%-SUM(AB8,AB10,AB11,AB12,AB13)</f>
        <v>2.0000000000000018E-3</v>
      </c>
      <c r="AC9" s="171">
        <f t="shared" si="2"/>
        <v>6.0000000000000053E-3</v>
      </c>
      <c r="AG9" s="1"/>
    </row>
    <row r="10" spans="1:61" s="197" customFormat="1" hidden="1" outlineLevel="1">
      <c r="A10" s="1"/>
      <c r="P10" s="157" t="s">
        <v>73</v>
      </c>
      <c r="Q10" s="136"/>
      <c r="R10" s="136"/>
      <c r="S10" s="171">
        <v>0.122</v>
      </c>
      <c r="T10" s="171">
        <v>9.8000000000000004E-2</v>
      </c>
      <c r="V10" s="171">
        <v>0.12</v>
      </c>
      <c r="W10" s="171">
        <v>8.6999999999999994E-2</v>
      </c>
      <c r="Y10" s="171">
        <v>0.11700000000000001</v>
      </c>
      <c r="Z10" s="171">
        <v>5.8000000000000003E-2</v>
      </c>
      <c r="AB10" s="171">
        <v>0.11600000000000001</v>
      </c>
      <c r="AC10" s="171">
        <v>5.1999999999999998E-2</v>
      </c>
      <c r="AG10" s="1"/>
    </row>
    <row r="11" spans="1:61" s="197" customFormat="1" hidden="1" outlineLevel="1">
      <c r="A11" s="1"/>
      <c r="P11" s="157" t="s">
        <v>74</v>
      </c>
      <c r="Q11" s="136"/>
      <c r="R11" s="136"/>
      <c r="S11" s="171">
        <v>0.52500000000000002</v>
      </c>
      <c r="T11" s="171">
        <v>0.38900000000000001</v>
      </c>
      <c r="V11" s="171">
        <v>0.52700000000000002</v>
      </c>
      <c r="W11" s="171">
        <v>0.371</v>
      </c>
      <c r="Y11" s="171">
        <v>0.502</v>
      </c>
      <c r="Z11" s="171">
        <v>0.218</v>
      </c>
      <c r="AB11" s="171">
        <v>0.503</v>
      </c>
      <c r="AC11" s="171">
        <v>0.20499999999999999</v>
      </c>
      <c r="AG11" s="1"/>
    </row>
    <row r="12" spans="1:61" s="197" customFormat="1" hidden="1" outlineLevel="1">
      <c r="A12" s="1"/>
      <c r="P12" s="157" t="s">
        <v>88</v>
      </c>
      <c r="Q12" s="136"/>
      <c r="R12" s="136"/>
      <c r="S12" s="171">
        <v>3.9E-2</v>
      </c>
      <c r="T12" s="171">
        <v>9.9000000000000005E-2</v>
      </c>
      <c r="V12" s="171">
        <v>0.04</v>
      </c>
      <c r="W12" s="171">
        <v>9.6000000000000002E-2</v>
      </c>
      <c r="Y12" s="171">
        <v>5.3999999999999999E-2</v>
      </c>
      <c r="Z12" s="171">
        <v>0.123</v>
      </c>
      <c r="AB12" s="171">
        <v>5.1999999999999998E-2</v>
      </c>
      <c r="AC12" s="171">
        <v>0.1</v>
      </c>
      <c r="AG12" s="1"/>
    </row>
    <row r="13" spans="1:61" s="197" customFormat="1" hidden="1" outlineLevel="1">
      <c r="A13" s="1"/>
      <c r="P13" s="157" t="s">
        <v>75</v>
      </c>
      <c r="Q13" s="136"/>
      <c r="R13" s="136"/>
      <c r="S13" s="171">
        <v>3.9E-2</v>
      </c>
      <c r="T13" s="171">
        <v>0.23200000000000001</v>
      </c>
      <c r="V13" s="171">
        <v>4.2000000000000003E-2</v>
      </c>
      <c r="W13" s="171">
        <v>0.28299999999999997</v>
      </c>
      <c r="Y13" s="171">
        <v>6.0999999999999999E-2</v>
      </c>
      <c r="Z13" s="171">
        <v>0.49</v>
      </c>
      <c r="AB13" s="171">
        <v>6.6000000000000003E-2</v>
      </c>
      <c r="AC13" s="171">
        <v>0.54300000000000004</v>
      </c>
      <c r="AG13" s="1"/>
    </row>
    <row r="14" spans="1:61" s="197" customFormat="1" hidden="1" outlineLevel="1">
      <c r="A14" s="1"/>
      <c r="S14" s="199" t="b">
        <f>SUM(S8:S13)=100%</f>
        <v>1</v>
      </c>
      <c r="T14" s="199" t="b">
        <f>SUM(T8:T13)=100%</f>
        <v>1</v>
      </c>
      <c r="V14" s="199" t="b">
        <f t="shared" ref="V14:W14" si="3">SUM(V8:V13)=100%</f>
        <v>1</v>
      </c>
      <c r="W14" s="199" t="b">
        <f t="shared" si="3"/>
        <v>1</v>
      </c>
      <c r="Y14" s="199" t="b">
        <f t="shared" ref="Y14:Z14" si="4">SUM(Y8:Y13)=100%</f>
        <v>1</v>
      </c>
      <c r="Z14" s="199" t="b">
        <f t="shared" si="4"/>
        <v>1</v>
      </c>
      <c r="AB14" s="199" t="b">
        <f t="shared" ref="AB14:AC14" si="5">SUM(AB8:AB13)=100%</f>
        <v>1</v>
      </c>
      <c r="AC14" s="199" t="b">
        <f t="shared" si="5"/>
        <v>1</v>
      </c>
      <c r="AG14" s="1"/>
    </row>
    <row r="15" spans="1:61" s="197" customFormat="1" ht="18" hidden="1" outlineLevel="1">
      <c r="A15"/>
      <c r="B15"/>
      <c r="C15"/>
      <c r="D15"/>
      <c r="E15"/>
      <c r="F15"/>
      <c r="G15"/>
      <c r="H15"/>
      <c r="I15"/>
      <c r="J15"/>
      <c r="K15"/>
      <c r="L15"/>
      <c r="M15"/>
      <c r="N15"/>
      <c r="O15"/>
      <c r="P15" s="35" t="s">
        <v>352</v>
      </c>
      <c r="Q15"/>
      <c r="R15"/>
      <c r="S15"/>
      <c r="T15"/>
      <c r="U15"/>
      <c r="V15"/>
      <c r="W15"/>
      <c r="X15"/>
      <c r="Y15"/>
      <c r="Z15"/>
      <c r="AA15"/>
      <c r="AB15"/>
      <c r="AC15"/>
      <c r="AD15"/>
      <c r="AE15"/>
      <c r="AF15"/>
      <c r="AG15"/>
      <c r="AH15"/>
      <c r="AI15"/>
      <c r="AJ15"/>
      <c r="AK15"/>
      <c r="AL15"/>
      <c r="AM15"/>
      <c r="AN15"/>
      <c r="AO15"/>
      <c r="AP15"/>
      <c r="AQ15"/>
      <c r="AR15"/>
      <c r="AS15"/>
      <c r="AT15"/>
    </row>
    <row r="16" spans="1:61" s="197" customFormat="1" hidden="1" outlineLevel="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5" s="197" customFormat="1" hidden="1" outlineLevel="1">
      <c r="A17" s="1"/>
      <c r="P17" s="1" t="s">
        <v>111</v>
      </c>
      <c r="Q17" s="181"/>
      <c r="R17" s="181"/>
      <c r="S17" s="181"/>
      <c r="T17" s="181"/>
      <c r="U17" s="181"/>
      <c r="V17" s="181"/>
      <c r="W17" s="1" t="s">
        <v>107</v>
      </c>
      <c r="X17" s="181"/>
      <c r="Y17" s="181"/>
      <c r="Z17" s="181"/>
      <c r="AA17" s="181"/>
      <c r="AB17" s="181"/>
      <c r="AC17" s="181"/>
      <c r="AD17" s="181"/>
      <c r="AE17" s="181"/>
      <c r="AF17" s="181"/>
      <c r="AG17" s="1" t="s">
        <v>355</v>
      </c>
    </row>
    <row r="18" spans="1:45" ht="30" hidden="1" customHeight="1" outlineLevel="1">
      <c r="P18" s="158" t="s">
        <v>70</v>
      </c>
      <c r="Q18" s="159"/>
      <c r="R18" s="159"/>
      <c r="S18" s="169" t="s">
        <v>77</v>
      </c>
      <c r="T18" s="170">
        <v>2030</v>
      </c>
      <c r="U18" s="170">
        <v>2050</v>
      </c>
      <c r="W18" s="158" t="s">
        <v>70</v>
      </c>
      <c r="X18" s="159"/>
      <c r="Y18" s="169" t="s">
        <v>77</v>
      </c>
      <c r="Z18" s="170">
        <v>2030</v>
      </c>
      <c r="AA18" s="170">
        <v>2050</v>
      </c>
      <c r="AG18" s="158" t="s">
        <v>70</v>
      </c>
      <c r="AH18" s="159"/>
      <c r="AI18" s="159"/>
      <c r="AJ18" s="159"/>
      <c r="AK18" s="159"/>
      <c r="AL18" s="666" t="s">
        <v>69</v>
      </c>
      <c r="AM18" s="667"/>
      <c r="AN18" s="666" t="s">
        <v>356</v>
      </c>
      <c r="AO18" s="667"/>
      <c r="AP18" s="166" t="s">
        <v>90</v>
      </c>
      <c r="AQ18" s="166" t="s">
        <v>82</v>
      </c>
      <c r="AR18" s="666" t="s">
        <v>83</v>
      </c>
      <c r="AS18" s="667"/>
    </row>
    <row r="19" spans="1:45" hidden="1" outlineLevel="1">
      <c r="P19" s="157" t="s">
        <v>71</v>
      </c>
      <c r="Q19" s="136"/>
      <c r="R19" s="136"/>
      <c r="S19" s="171">
        <f>AM20/SUM($AM$19:$AM$22)</f>
        <v>0.32096401495455057</v>
      </c>
      <c r="T19" s="171">
        <f>S8</f>
        <v>0.27400000000000002</v>
      </c>
      <c r="U19" s="171">
        <f t="shared" ref="U19:U24" si="6">T8</f>
        <v>0.17299999999999999</v>
      </c>
      <c r="W19" s="157" t="str">
        <f t="shared" ref="W19:W24" si="7">P19</f>
        <v>Olej napędowy</v>
      </c>
      <c r="X19" s="136"/>
      <c r="Y19" s="171">
        <f>100%-SUM(Y20,Y21,Y22,Y23,Y24)</f>
        <v>1</v>
      </c>
      <c r="Z19" s="171">
        <f>100%-SUM(Z20,Z21,Z22,Z23,Z24)</f>
        <v>1</v>
      </c>
      <c r="AA19" s="171">
        <f>100%-SUM(AA20,AA21,AA22,AA23,AA24)</f>
        <v>1</v>
      </c>
      <c r="AG19" s="167" t="s">
        <v>74</v>
      </c>
      <c r="AH19" s="136"/>
      <c r="AI19" s="136"/>
      <c r="AJ19" s="136"/>
      <c r="AK19" s="136"/>
      <c r="AL19" s="162">
        <f>AM19/$AM$26</f>
        <v>0.53795127330859149</v>
      </c>
      <c r="AM19" s="160">
        <v>12787991</v>
      </c>
      <c r="AN19" s="162">
        <f>AO19/$AO$26</f>
        <v>0.17561347134022764</v>
      </c>
      <c r="AO19" s="160">
        <f t="shared" ref="AO19:AO25" si="8">SUM(AP19,AQ19)</f>
        <v>620945</v>
      </c>
      <c r="AP19" s="164">
        <v>619344</v>
      </c>
      <c r="AQ19" s="164">
        <v>1601</v>
      </c>
      <c r="AR19" s="162">
        <f>AS19/$AS$26</f>
        <v>3.9739010058180618E-2</v>
      </c>
      <c r="AS19" s="160">
        <v>4105</v>
      </c>
    </row>
    <row r="20" spans="1:45" hidden="1" outlineLevel="1">
      <c r="P20" s="157" t="s">
        <v>72</v>
      </c>
      <c r="Q20" s="136"/>
      <c r="R20" s="136"/>
      <c r="S20" s="171">
        <v>0</v>
      </c>
      <c r="T20" s="171">
        <f t="shared" ref="T20:T24" si="9">S9</f>
        <v>9.9999999999988987E-4</v>
      </c>
      <c r="U20" s="171">
        <f t="shared" si="6"/>
        <v>9.000000000000008E-3</v>
      </c>
      <c r="W20" s="157" t="str">
        <f t="shared" si="7"/>
        <v>Gaz CNG</v>
      </c>
      <c r="X20" s="136"/>
      <c r="Y20" s="171">
        <v>0</v>
      </c>
      <c r="Z20" s="171">
        <v>0</v>
      </c>
      <c r="AA20" s="171">
        <v>0</v>
      </c>
      <c r="AG20" s="167" t="s">
        <v>71</v>
      </c>
      <c r="AH20" s="136"/>
      <c r="AI20" s="136"/>
      <c r="AJ20" s="136"/>
      <c r="AK20" s="136"/>
      <c r="AL20" s="162">
        <f t="shared" ref="AL20:AL26" si="10">AM20/$AM$26</f>
        <v>0.32055015273864212</v>
      </c>
      <c r="AM20" s="160">
        <v>7620007</v>
      </c>
      <c r="AN20" s="162">
        <f t="shared" ref="AN20:AN26" si="11">AO20/$AO$26</f>
        <v>0.77277931095727148</v>
      </c>
      <c r="AO20" s="160">
        <f t="shared" si="8"/>
        <v>2732441</v>
      </c>
      <c r="AP20" s="164">
        <v>2330551</v>
      </c>
      <c r="AQ20" s="164">
        <v>401890</v>
      </c>
      <c r="AR20" s="162">
        <f t="shared" ref="AR20:AR26" si="12">AS20/$AS$26</f>
        <v>0.94221628476558339</v>
      </c>
      <c r="AS20" s="160">
        <v>97330</v>
      </c>
    </row>
    <row r="21" spans="1:45" hidden="1" outlineLevel="1">
      <c r="P21" s="157" t="s">
        <v>73</v>
      </c>
      <c r="Q21" s="136"/>
      <c r="R21" s="136"/>
      <c r="S21" s="171">
        <f>AM21/SUM($AM$19:$AM$22)</f>
        <v>0.14016359293359199</v>
      </c>
      <c r="T21" s="171">
        <f t="shared" si="9"/>
        <v>0.122</v>
      </c>
      <c r="U21" s="171">
        <f t="shared" si="6"/>
        <v>9.8000000000000004E-2</v>
      </c>
      <c r="W21" s="157" t="str">
        <f t="shared" si="7"/>
        <v>Gaz LPG</v>
      </c>
      <c r="X21" s="136"/>
      <c r="Y21" s="171">
        <v>0</v>
      </c>
      <c r="Z21" s="171">
        <v>0</v>
      </c>
      <c r="AA21" s="171">
        <v>0</v>
      </c>
      <c r="AG21" s="167" t="s">
        <v>78</v>
      </c>
      <c r="AH21" s="136"/>
      <c r="AI21" s="136"/>
      <c r="AJ21" s="136"/>
      <c r="AK21" s="136"/>
      <c r="AL21" s="162">
        <f t="shared" si="10"/>
        <v>0.13998286109931019</v>
      </c>
      <c r="AM21" s="160">
        <v>3327624</v>
      </c>
      <c r="AN21" s="162">
        <f t="shared" si="11"/>
        <v>4.9846402376563341E-2</v>
      </c>
      <c r="AO21" s="160">
        <f t="shared" si="8"/>
        <v>176250</v>
      </c>
      <c r="AP21" s="164">
        <v>174294</v>
      </c>
      <c r="AQ21" s="164">
        <v>1956</v>
      </c>
      <c r="AR21" s="162">
        <f t="shared" si="12"/>
        <v>7.5024927637247218E-3</v>
      </c>
      <c r="AS21" s="160">
        <v>775</v>
      </c>
    </row>
    <row r="22" spans="1:45" hidden="1" outlineLevel="1">
      <c r="P22" s="157" t="s">
        <v>74</v>
      </c>
      <c r="Q22" s="136"/>
      <c r="R22" s="136"/>
      <c r="S22" s="171">
        <f>100%-SUM(S19,S20,S21,S23,S24)</f>
        <v>0.53887239211185745</v>
      </c>
      <c r="T22" s="171">
        <f t="shared" si="9"/>
        <v>0.52500000000000002</v>
      </c>
      <c r="U22" s="171">
        <f t="shared" si="6"/>
        <v>0.38900000000000001</v>
      </c>
      <c r="W22" s="157" t="str">
        <f t="shared" si="7"/>
        <v>Benzyna</v>
      </c>
      <c r="X22" s="136"/>
      <c r="Y22" s="171">
        <v>0</v>
      </c>
      <c r="Z22" s="171">
        <v>0</v>
      </c>
      <c r="AA22" s="171">
        <v>0</v>
      </c>
      <c r="AG22" s="167" t="s">
        <v>79</v>
      </c>
      <c r="AH22" s="136"/>
      <c r="AI22" s="136"/>
      <c r="AJ22" s="136"/>
      <c r="AK22" s="136"/>
      <c r="AL22" s="162">
        <f t="shared" si="10"/>
        <v>2.2627791176322489E-4</v>
      </c>
      <c r="AM22" s="160">
        <v>5379</v>
      </c>
      <c r="AN22" s="162">
        <f t="shared" si="11"/>
        <v>1.3329140107843575E-3</v>
      </c>
      <c r="AO22" s="160">
        <f t="shared" si="8"/>
        <v>4713</v>
      </c>
      <c r="AP22" s="164">
        <v>2846</v>
      </c>
      <c r="AQ22" s="164">
        <v>1867</v>
      </c>
      <c r="AR22" s="162">
        <f t="shared" si="12"/>
        <v>7.2701575039448591E-3</v>
      </c>
      <c r="AS22" s="160">
        <v>751</v>
      </c>
    </row>
    <row r="23" spans="1:45" hidden="1" outlineLevel="1">
      <c r="P23" s="157" t="s">
        <v>88</v>
      </c>
      <c r="Q23" s="136"/>
      <c r="R23" s="136"/>
      <c r="S23" s="171">
        <v>0</v>
      </c>
      <c r="T23" s="171">
        <f t="shared" si="9"/>
        <v>3.9E-2</v>
      </c>
      <c r="U23" s="171">
        <f t="shared" si="6"/>
        <v>9.9000000000000005E-2</v>
      </c>
      <c r="W23" s="157" t="str">
        <f t="shared" si="7"/>
        <v>Hybrydowe (paliwa +elektryczne)</v>
      </c>
      <c r="X23" s="136"/>
      <c r="Y23" s="171">
        <v>0</v>
      </c>
      <c r="Z23" s="171">
        <v>0</v>
      </c>
      <c r="AA23" s="171">
        <v>0</v>
      </c>
      <c r="AG23" s="167" t="s">
        <v>80</v>
      </c>
      <c r="AH23" s="136"/>
      <c r="AI23" s="136"/>
      <c r="AJ23" s="136"/>
      <c r="AK23" s="136"/>
      <c r="AL23" s="162">
        <f t="shared" si="10"/>
        <v>2.1857966713547433E-4</v>
      </c>
      <c r="AM23" s="160">
        <v>5196</v>
      </c>
      <c r="AN23" s="162">
        <f t="shared" si="11"/>
        <v>4.1771992232728539E-4</v>
      </c>
      <c r="AO23" s="160">
        <f t="shared" si="8"/>
        <v>1477</v>
      </c>
      <c r="AP23" s="164">
        <v>1416</v>
      </c>
      <c r="AQ23" s="164">
        <v>61</v>
      </c>
      <c r="AR23" s="162">
        <f t="shared" si="12"/>
        <v>3.2720549085663948E-3</v>
      </c>
      <c r="AS23" s="160">
        <v>338</v>
      </c>
    </row>
    <row r="24" spans="1:45" hidden="1" outlineLevel="1">
      <c r="P24" s="157" t="s">
        <v>75</v>
      </c>
      <c r="Q24" s="136"/>
      <c r="R24" s="136"/>
      <c r="S24" s="171">
        <v>0</v>
      </c>
      <c r="T24" s="171">
        <f t="shared" si="9"/>
        <v>3.9E-2</v>
      </c>
      <c r="U24" s="171">
        <f t="shared" si="6"/>
        <v>0.23200000000000001</v>
      </c>
      <c r="W24" s="157" t="str">
        <f t="shared" si="7"/>
        <v>Elektryczne</v>
      </c>
      <c r="X24" s="136"/>
      <c r="Y24" s="171">
        <v>0</v>
      </c>
      <c r="Z24" s="171">
        <v>0</v>
      </c>
      <c r="AA24" s="171">
        <v>0</v>
      </c>
      <c r="AG24" s="167" t="s">
        <v>357</v>
      </c>
      <c r="AH24" s="136"/>
      <c r="AI24" s="136"/>
      <c r="AJ24" s="136"/>
      <c r="AK24" s="136"/>
      <c r="AL24" s="162">
        <f t="shared" si="10"/>
        <v>9.5777941904166277E-4</v>
      </c>
      <c r="AM24" s="160">
        <v>22768</v>
      </c>
      <c r="AN24" s="162">
        <f t="shared" si="11"/>
        <v>8.4844940215426958E-6</v>
      </c>
      <c r="AO24" s="160">
        <f t="shared" si="8"/>
        <v>30</v>
      </c>
      <c r="AP24" s="164">
        <v>30</v>
      </c>
      <c r="AQ24" s="164">
        <v>0</v>
      </c>
      <c r="AR24" s="162">
        <f t="shared" si="12"/>
        <v>0</v>
      </c>
      <c r="AS24" s="160">
        <v>0</v>
      </c>
    </row>
    <row r="25" spans="1:45" ht="18" hidden="1" customHeight="1" outlineLevel="1">
      <c r="P25" s="668" t="s">
        <v>353</v>
      </c>
      <c r="Q25" s="668"/>
      <c r="R25" s="668"/>
      <c r="S25" s="668"/>
      <c r="T25" s="668"/>
      <c r="U25" s="668"/>
      <c r="W25" s="683" t="s">
        <v>354</v>
      </c>
      <c r="X25" s="683"/>
      <c r="Y25" s="683"/>
      <c r="Z25" s="683"/>
      <c r="AA25" s="683"/>
      <c r="AB25" s="683"/>
      <c r="AC25" s="683"/>
      <c r="AD25" s="683"/>
      <c r="AE25" s="498"/>
      <c r="AG25" s="167" t="s">
        <v>358</v>
      </c>
      <c r="AH25" s="136"/>
      <c r="AI25" s="136"/>
      <c r="AJ25" s="136"/>
      <c r="AK25" s="136"/>
      <c r="AL25" s="162">
        <f t="shared" si="10"/>
        <v>1.1307585551581121E-4</v>
      </c>
      <c r="AM25" s="160">
        <v>2688</v>
      </c>
      <c r="AN25" s="162">
        <f t="shared" si="11"/>
        <v>1.6968988043085393E-6</v>
      </c>
      <c r="AO25" s="160">
        <f t="shared" si="8"/>
        <v>6</v>
      </c>
      <c r="AP25" s="164">
        <v>6</v>
      </c>
      <c r="AQ25" s="164">
        <v>0</v>
      </c>
      <c r="AR25" s="162">
        <f t="shared" si="12"/>
        <v>0</v>
      </c>
      <c r="AS25" s="160">
        <v>0</v>
      </c>
    </row>
    <row r="26" spans="1:45" hidden="1" outlineLevel="1">
      <c r="P26" s="669"/>
      <c r="Q26" s="669"/>
      <c r="R26" s="669"/>
      <c r="S26" s="669"/>
      <c r="T26" s="669"/>
      <c r="U26" s="669"/>
      <c r="W26" s="683"/>
      <c r="X26" s="683"/>
      <c r="Y26" s="683"/>
      <c r="Z26" s="683"/>
      <c r="AA26" s="683"/>
      <c r="AB26" s="683"/>
      <c r="AC26" s="683"/>
      <c r="AD26" s="683"/>
      <c r="AE26" s="498"/>
      <c r="AG26" s="155" t="s">
        <v>84</v>
      </c>
      <c r="AH26" s="156"/>
      <c r="AI26" s="156"/>
      <c r="AJ26" s="156"/>
      <c r="AK26" s="156"/>
      <c r="AL26" s="163">
        <f t="shared" si="10"/>
        <v>1</v>
      </c>
      <c r="AM26" s="161">
        <f>SUM(AM19:AM25)</f>
        <v>23771653</v>
      </c>
      <c r="AN26" s="163">
        <f t="shared" si="11"/>
        <v>1</v>
      </c>
      <c r="AO26" s="161">
        <f>SUM(AO19:AO25)</f>
        <v>3535862</v>
      </c>
      <c r="AP26" s="165">
        <f t="shared" ref="AP26:AQ26" si="13">SUM(AP19:AP25)</f>
        <v>3128487</v>
      </c>
      <c r="AQ26" s="165">
        <f t="shared" si="13"/>
        <v>407375</v>
      </c>
      <c r="AR26" s="163">
        <f t="shared" si="12"/>
        <v>1</v>
      </c>
      <c r="AS26" s="161">
        <f>SUM(AS19:AS25)</f>
        <v>103299</v>
      </c>
    </row>
    <row r="27" spans="1:45" hidden="1" outlineLevel="1">
      <c r="P27"/>
      <c r="Q27"/>
      <c r="R27"/>
      <c r="S27"/>
      <c r="T27"/>
      <c r="U27"/>
      <c r="V27"/>
      <c r="W27" s="683"/>
      <c r="X27" s="683"/>
      <c r="Y27" s="683"/>
      <c r="Z27" s="683"/>
      <c r="AA27" s="683"/>
      <c r="AB27" s="683"/>
      <c r="AC27" s="683"/>
      <c r="AD27" s="683"/>
      <c r="AE27" s="498"/>
      <c r="AG27" s="167" t="s">
        <v>359</v>
      </c>
      <c r="AH27" s="136"/>
      <c r="AI27" s="136"/>
      <c r="AJ27" s="136"/>
      <c r="AK27" s="136"/>
      <c r="AL27" s="162">
        <f>AM27/$AM$28</f>
        <v>2.415882551867668E-2</v>
      </c>
      <c r="AM27" s="160">
        <f>AM28-AM26</f>
        <v>588513</v>
      </c>
      <c r="AN27" s="162">
        <f>AO27/$AO$28</f>
        <v>8.9515969756124442E-2</v>
      </c>
      <c r="AO27" s="160">
        <f>AO28-AO26</f>
        <v>347635</v>
      </c>
      <c r="AP27" s="164">
        <f t="shared" ref="AP27:AQ27" si="14">AP28-AP26</f>
        <v>307697</v>
      </c>
      <c r="AQ27" s="164">
        <f t="shared" si="14"/>
        <v>39938</v>
      </c>
      <c r="AR27" s="162">
        <f>AS27/$AS$28</f>
        <v>0.15745815797200743</v>
      </c>
      <c r="AS27" s="160">
        <f>AS28-AS26</f>
        <v>19305</v>
      </c>
    </row>
    <row r="28" spans="1:45" hidden="1" outlineLevel="1">
      <c r="P28"/>
      <c r="Q28"/>
      <c r="R28"/>
      <c r="S28"/>
      <c r="T28"/>
      <c r="U28"/>
      <c r="V28"/>
      <c r="W28" s="683"/>
      <c r="X28" s="683"/>
      <c r="Y28" s="683"/>
      <c r="Z28" s="683"/>
      <c r="AA28" s="683"/>
      <c r="AB28" s="683"/>
      <c r="AC28" s="683"/>
      <c r="AD28" s="683"/>
      <c r="AE28" s="498"/>
      <c r="AG28" s="155" t="s">
        <v>81</v>
      </c>
      <c r="AH28" s="156"/>
      <c r="AI28" s="156"/>
      <c r="AJ28" s="156"/>
      <c r="AK28" s="156"/>
      <c r="AL28" s="163">
        <f>AM28/$AM$28</f>
        <v>1</v>
      </c>
      <c r="AM28" s="161">
        <v>24360166</v>
      </c>
      <c r="AN28" s="163">
        <f>AO28/$AO$28</f>
        <v>1</v>
      </c>
      <c r="AO28" s="161">
        <f>SUM(AP28,AQ28)</f>
        <v>3883497</v>
      </c>
      <c r="AP28" s="165">
        <v>3436184</v>
      </c>
      <c r="AQ28" s="165">
        <v>447313</v>
      </c>
      <c r="AR28" s="163">
        <f>AS28/$AS$28</f>
        <v>1</v>
      </c>
      <c r="AS28" s="161">
        <v>122604</v>
      </c>
    </row>
    <row r="29" spans="1:45" hidden="1" outlineLevel="1">
      <c r="P29"/>
      <c r="Q29"/>
      <c r="R29"/>
      <c r="S29"/>
      <c r="T29"/>
      <c r="U29"/>
      <c r="V29"/>
      <c r="W29" s="683"/>
      <c r="X29" s="683"/>
      <c r="Y29" s="683"/>
      <c r="Z29" s="683"/>
      <c r="AA29" s="683"/>
      <c r="AB29" s="683"/>
      <c r="AC29" s="683"/>
      <c r="AD29" s="683"/>
      <c r="AE29" s="498"/>
      <c r="AG29" s="35" t="s">
        <v>360</v>
      </c>
    </row>
    <row r="30" spans="1:45" s="454" customFormat="1" hidden="1" outlineLevel="1">
      <c r="W30" s="683"/>
      <c r="X30" s="683"/>
      <c r="Y30" s="683"/>
      <c r="Z30" s="683"/>
      <c r="AA30" s="683"/>
      <c r="AB30" s="683"/>
      <c r="AC30" s="683"/>
      <c r="AD30" s="683"/>
      <c r="AG30" s="35"/>
    </row>
    <row r="31" spans="1:45" s="454" customFormat="1" hidden="1" outlineLevel="1">
      <c r="AG31" s="35"/>
    </row>
    <row r="32" spans="1:45" hidden="1" outlineLevel="1">
      <c r="P32" s="168" t="s">
        <v>85</v>
      </c>
      <c r="W32" s="168" t="s">
        <v>86</v>
      </c>
      <c r="AG32" s="35"/>
      <c r="AL32"/>
    </row>
    <row r="33" spans="1:38" hidden="1" outlineLevel="1">
      <c r="P33" s="158" t="s">
        <v>70</v>
      </c>
      <c r="Q33" s="159"/>
      <c r="R33" s="159"/>
      <c r="S33" s="169" t="s">
        <v>77</v>
      </c>
      <c r="T33" s="170">
        <v>2030</v>
      </c>
      <c r="U33" s="170">
        <v>2050</v>
      </c>
      <c r="W33" s="158" t="s">
        <v>70</v>
      </c>
      <c r="X33" s="159"/>
      <c r="Y33" s="169" t="s">
        <v>77</v>
      </c>
      <c r="Z33" s="170">
        <v>2030</v>
      </c>
      <c r="AA33" s="170">
        <v>2050</v>
      </c>
      <c r="AG33" s="35"/>
      <c r="AL33"/>
    </row>
    <row r="34" spans="1:38" hidden="1" outlineLevel="1">
      <c r="P34" s="157" t="s">
        <v>363</v>
      </c>
      <c r="Q34" s="81"/>
      <c r="R34" s="81"/>
      <c r="S34" s="200">
        <f>SUM(S19:S22)</f>
        <v>1</v>
      </c>
      <c r="T34" s="200">
        <f>SUM(T19:T22)</f>
        <v>0.92199999999999993</v>
      </c>
      <c r="U34" s="200">
        <f>SUM(U19:U22)</f>
        <v>0.66900000000000004</v>
      </c>
      <c r="W34" s="157" t="s">
        <v>363</v>
      </c>
      <c r="X34" s="81"/>
      <c r="Y34" s="200">
        <f>SUM(Y19:Y22)</f>
        <v>1</v>
      </c>
      <c r="Z34" s="200">
        <f>SUM(Z19:Z22)</f>
        <v>1</v>
      </c>
      <c r="AA34" s="200">
        <f>SUM(AA19:AA22)</f>
        <v>1</v>
      </c>
      <c r="AG34" s="35"/>
    </row>
    <row r="35" spans="1:38" s="208" customFormat="1" hidden="1" outlineLevel="1">
      <c r="P35" s="206" t="s">
        <v>361</v>
      </c>
      <c r="Q35" s="209"/>
      <c r="R35" s="209"/>
      <c r="S35" s="210">
        <f>SUM(S20:S22)</f>
        <v>0.67903598504544949</v>
      </c>
      <c r="T35" s="210">
        <f t="shared" ref="T35:U35" si="15">SUM(T20:T22)</f>
        <v>0.64799999999999991</v>
      </c>
      <c r="U35" s="210">
        <f t="shared" si="15"/>
        <v>0.496</v>
      </c>
      <c r="W35" s="206" t="s">
        <v>361</v>
      </c>
      <c r="X35" s="209"/>
      <c r="Y35" s="210">
        <f>SUM(Y20:Y22)</f>
        <v>0</v>
      </c>
      <c r="Z35" s="210">
        <f t="shared" ref="Z35:AA35" si="16">SUM(Z20:Z22)</f>
        <v>0</v>
      </c>
      <c r="AA35" s="210">
        <f t="shared" si="16"/>
        <v>0</v>
      </c>
      <c r="AG35" s="35"/>
    </row>
    <row r="36" spans="1:38" s="208" customFormat="1" hidden="1" outlineLevel="1">
      <c r="P36" s="206" t="s">
        <v>71</v>
      </c>
      <c r="Q36" s="209"/>
      <c r="R36" s="209"/>
      <c r="S36" s="210">
        <f>S19</f>
        <v>0.32096401495455057</v>
      </c>
      <c r="T36" s="210">
        <f t="shared" ref="T36:U36" si="17">T19</f>
        <v>0.27400000000000002</v>
      </c>
      <c r="U36" s="210">
        <f t="shared" si="17"/>
        <v>0.17299999999999999</v>
      </c>
      <c r="W36" s="206" t="s">
        <v>71</v>
      </c>
      <c r="X36" s="209"/>
      <c r="Y36" s="210">
        <f>Y19</f>
        <v>1</v>
      </c>
      <c r="Z36" s="210">
        <f t="shared" ref="Z36:AA36" si="18">Z19</f>
        <v>1</v>
      </c>
      <c r="AA36" s="210">
        <f t="shared" si="18"/>
        <v>1</v>
      </c>
      <c r="AG36" s="35"/>
    </row>
    <row r="37" spans="1:38" hidden="1" outlineLevel="1">
      <c r="P37" s="157" t="s">
        <v>362</v>
      </c>
      <c r="Q37" s="136"/>
      <c r="R37" s="136"/>
      <c r="S37" s="171">
        <f>SUM(S23:S24)</f>
        <v>0</v>
      </c>
      <c r="T37" s="171">
        <f>SUM(T23:T24)</f>
        <v>7.8E-2</v>
      </c>
      <c r="U37" s="171">
        <f>SUM(U23:U24)</f>
        <v>0.33100000000000002</v>
      </c>
      <c r="W37" s="157" t="s">
        <v>362</v>
      </c>
      <c r="X37" s="136"/>
      <c r="Y37" s="171">
        <f>SUM(Y23:Y24)</f>
        <v>0</v>
      </c>
      <c r="Z37" s="171">
        <f>SUM(Z23:Z24)</f>
        <v>0</v>
      </c>
      <c r="AA37" s="171">
        <f>SUM(AA23:AA24)</f>
        <v>0</v>
      </c>
      <c r="AG37" s="35"/>
    </row>
    <row r="38" spans="1:38" hidden="1" outlineLevel="1">
      <c r="S38" s="208"/>
      <c r="T38" s="208"/>
      <c r="U38" s="208"/>
      <c r="AG38" s="35"/>
    </row>
    <row r="39" spans="1:38" s="315" customFormat="1" hidden="1" outlineLevel="1">
      <c r="A39" s="673" t="s">
        <v>364</v>
      </c>
      <c r="B39" s="673"/>
      <c r="C39" s="673"/>
      <c r="D39" s="673"/>
      <c r="E39" s="673"/>
      <c r="F39" s="673"/>
      <c r="G39" s="673"/>
      <c r="H39" s="673"/>
      <c r="I39" s="673"/>
      <c r="J39" s="673"/>
      <c r="K39" s="673"/>
      <c r="L39" s="673"/>
      <c r="M39" s="673"/>
      <c r="N39" s="673"/>
      <c r="O39" s="673"/>
      <c r="P39" s="673"/>
      <c r="Q39" s="673"/>
      <c r="R39" s="673"/>
      <c r="S39" s="673"/>
      <c r="T39" s="673"/>
      <c r="U39" s="673"/>
      <c r="V39" s="673"/>
      <c r="AG39" s="35"/>
    </row>
    <row r="40" spans="1:38" s="454" customFormat="1" hidden="1" outlineLevel="1">
      <c r="A40" s="673"/>
      <c r="B40" s="673"/>
      <c r="C40" s="673"/>
      <c r="D40" s="673"/>
      <c r="E40" s="673"/>
      <c r="F40" s="673"/>
      <c r="G40" s="673"/>
      <c r="H40" s="673"/>
      <c r="I40" s="673"/>
      <c r="J40" s="673"/>
      <c r="K40" s="673"/>
      <c r="L40" s="673"/>
      <c r="M40" s="673"/>
      <c r="N40" s="673"/>
      <c r="O40" s="673"/>
      <c r="P40" s="673"/>
      <c r="Q40" s="673"/>
      <c r="R40" s="673"/>
      <c r="S40" s="673"/>
      <c r="T40" s="673"/>
      <c r="U40" s="673"/>
      <c r="V40" s="673"/>
      <c r="AG40" s="35"/>
    </row>
    <row r="41" spans="1:38" s="315" customFormat="1" hidden="1" outlineLevel="1">
      <c r="A41" s="186" t="s">
        <v>99</v>
      </c>
      <c r="B41" s="9"/>
      <c r="C41" s="9"/>
      <c r="D41" s="9"/>
      <c r="E41" s="9"/>
      <c r="F41" s="9"/>
      <c r="G41" s="9"/>
      <c r="H41" s="9"/>
      <c r="I41" s="9"/>
      <c r="J41" s="9"/>
      <c r="K41" s="9"/>
      <c r="L41" s="9"/>
      <c r="M41" s="9"/>
      <c r="N41" s="9"/>
      <c r="O41" s="9"/>
      <c r="P41" s="185">
        <v>2019</v>
      </c>
      <c r="Q41"/>
      <c r="R41"/>
      <c r="AG41" s="35"/>
    </row>
    <row r="42" spans="1:38" s="315" customFormat="1" hidden="1" outlineLevel="1">
      <c r="A42" s="317" t="s">
        <v>361</v>
      </c>
      <c r="B42" s="213"/>
      <c r="C42" s="213"/>
      <c r="D42" s="213"/>
      <c r="E42" s="213"/>
      <c r="F42" s="213"/>
      <c r="G42" s="213"/>
      <c r="H42" s="213"/>
      <c r="I42" s="213"/>
      <c r="J42" s="213"/>
      <c r="K42" s="213"/>
      <c r="L42" s="213"/>
      <c r="M42" s="213"/>
      <c r="N42" s="213"/>
      <c r="O42" s="213"/>
      <c r="P42" s="212">
        <f>S35/SUM(S35:S36)</f>
        <v>0.67903598504544949</v>
      </c>
      <c r="Q42"/>
      <c r="R42"/>
      <c r="AG42" s="35"/>
    </row>
    <row r="43" spans="1:38" s="315" customFormat="1" hidden="1" outlineLevel="1">
      <c r="A43" s="317" t="s">
        <v>71</v>
      </c>
      <c r="B43" s="213"/>
      <c r="C43" s="213"/>
      <c r="D43" s="213"/>
      <c r="E43" s="213"/>
      <c r="F43" s="213"/>
      <c r="G43" s="213"/>
      <c r="H43" s="213"/>
      <c r="I43" s="213"/>
      <c r="J43" s="213"/>
      <c r="K43" s="213"/>
      <c r="L43" s="213"/>
      <c r="M43" s="213"/>
      <c r="N43" s="213"/>
      <c r="O43" s="213"/>
      <c r="P43" s="212">
        <f>S36/SUM(S35:S36)</f>
        <v>0.32096401495455057</v>
      </c>
      <c r="Q43"/>
      <c r="R43"/>
      <c r="AG43" s="35"/>
    </row>
    <row r="44" spans="1:38" s="315" customFormat="1" hidden="1" outlineLevel="1">
      <c r="A44" s="186" t="s">
        <v>100</v>
      </c>
      <c r="B44" s="9"/>
      <c r="C44" s="9"/>
      <c r="D44" s="9"/>
      <c r="E44" s="9"/>
      <c r="F44" s="9"/>
      <c r="G44" s="9"/>
      <c r="H44" s="9"/>
      <c r="I44" s="9"/>
      <c r="J44" s="9"/>
      <c r="K44" s="9"/>
      <c r="L44" s="9"/>
      <c r="M44" s="9"/>
      <c r="N44" s="9"/>
      <c r="O44" s="9"/>
      <c r="P44" s="185">
        <v>2019</v>
      </c>
      <c r="Q44"/>
      <c r="R44"/>
      <c r="AG44" s="35"/>
    </row>
    <row r="45" spans="1:38" s="315" customFormat="1" hidden="1" outlineLevel="1">
      <c r="A45" s="317" t="s">
        <v>361</v>
      </c>
      <c r="B45" s="213"/>
      <c r="C45" s="213"/>
      <c r="D45" s="213"/>
      <c r="E45" s="213"/>
      <c r="F45" s="213"/>
      <c r="G45" s="213"/>
      <c r="H45" s="213"/>
      <c r="I45" s="213"/>
      <c r="J45" s="213"/>
      <c r="K45" s="213"/>
      <c r="L45" s="213"/>
      <c r="M45" s="213"/>
      <c r="N45" s="213"/>
      <c r="O45" s="213"/>
      <c r="P45" s="212">
        <f>Y35/SUM(Y35:Y36)</f>
        <v>0</v>
      </c>
      <c r="Q45"/>
      <c r="R45"/>
      <c r="AG45" s="35"/>
    </row>
    <row r="46" spans="1:38" s="315" customFormat="1" hidden="1" outlineLevel="1">
      <c r="A46" s="317" t="s">
        <v>71</v>
      </c>
      <c r="B46" s="213"/>
      <c r="C46" s="213"/>
      <c r="D46" s="213"/>
      <c r="E46" s="213"/>
      <c r="F46" s="213"/>
      <c r="G46" s="213"/>
      <c r="H46" s="213"/>
      <c r="I46" s="213"/>
      <c r="J46" s="213"/>
      <c r="K46" s="213"/>
      <c r="L46" s="213"/>
      <c r="M46" s="213"/>
      <c r="N46" s="213"/>
      <c r="O46" s="213"/>
      <c r="P46" s="212">
        <f>Y36/SUM(Y35:Y36)</f>
        <v>1</v>
      </c>
      <c r="Q46"/>
      <c r="R46"/>
      <c r="AG46" s="35"/>
    </row>
    <row r="47" spans="1:38" s="315" customFormat="1" hidden="1" outlineLevel="1">
      <c r="AG47" s="35"/>
    </row>
    <row r="48" spans="1:38" collapsed="1">
      <c r="A48" s="168" t="s">
        <v>85</v>
      </c>
      <c r="S48" s="208"/>
      <c r="T48" s="208"/>
      <c r="U48" s="208"/>
      <c r="AG48" s="35"/>
    </row>
    <row r="49" spans="1:62">
      <c r="A49" s="9" t="s">
        <v>70</v>
      </c>
      <c r="B49" s="508" t="s">
        <v>0</v>
      </c>
      <c r="C49" s="2"/>
      <c r="D49" s="2"/>
      <c r="E49" s="2"/>
      <c r="F49" s="2"/>
      <c r="G49" s="2"/>
      <c r="H49" s="2"/>
      <c r="I49" s="2"/>
      <c r="J49" s="2"/>
      <c r="K49" s="2"/>
      <c r="L49" s="2"/>
      <c r="M49" s="2"/>
      <c r="N49" s="2"/>
      <c r="O49" s="2"/>
      <c r="P49" s="2"/>
      <c r="Q49" s="6"/>
      <c r="R49" s="6"/>
      <c r="S49" s="6"/>
      <c r="T49" s="6">
        <v>2019</v>
      </c>
      <c r="U49" s="6">
        <f t="shared" ref="U49:BJ49" si="19">T49+1</f>
        <v>2020</v>
      </c>
      <c r="V49" s="6">
        <f t="shared" si="19"/>
        <v>2021</v>
      </c>
      <c r="W49" s="6">
        <f t="shared" si="19"/>
        <v>2022</v>
      </c>
      <c r="X49" s="6">
        <f t="shared" si="19"/>
        <v>2023</v>
      </c>
      <c r="Y49" s="6">
        <f t="shared" si="19"/>
        <v>2024</v>
      </c>
      <c r="Z49" s="6">
        <f t="shared" si="19"/>
        <v>2025</v>
      </c>
      <c r="AA49" s="6">
        <f t="shared" si="19"/>
        <v>2026</v>
      </c>
      <c r="AB49" s="6">
        <f t="shared" si="19"/>
        <v>2027</v>
      </c>
      <c r="AC49" s="6">
        <f t="shared" si="19"/>
        <v>2028</v>
      </c>
      <c r="AD49" s="6">
        <f t="shared" si="19"/>
        <v>2029</v>
      </c>
      <c r="AE49" s="6">
        <f t="shared" si="19"/>
        <v>2030</v>
      </c>
      <c r="AF49" s="6">
        <f t="shared" si="19"/>
        <v>2031</v>
      </c>
      <c r="AG49" s="6">
        <f t="shared" si="19"/>
        <v>2032</v>
      </c>
      <c r="AH49" s="6">
        <f t="shared" si="19"/>
        <v>2033</v>
      </c>
      <c r="AI49" s="6">
        <f t="shared" si="19"/>
        <v>2034</v>
      </c>
      <c r="AJ49" s="6">
        <f t="shared" si="19"/>
        <v>2035</v>
      </c>
      <c r="AK49" s="6">
        <f t="shared" si="19"/>
        <v>2036</v>
      </c>
      <c r="AL49" s="6">
        <f t="shared" si="19"/>
        <v>2037</v>
      </c>
      <c r="AM49" s="6">
        <f t="shared" si="19"/>
        <v>2038</v>
      </c>
      <c r="AN49" s="6">
        <f t="shared" si="19"/>
        <v>2039</v>
      </c>
      <c r="AO49" s="6">
        <f t="shared" si="19"/>
        <v>2040</v>
      </c>
      <c r="AP49" s="6">
        <f t="shared" si="19"/>
        <v>2041</v>
      </c>
      <c r="AQ49" s="6">
        <f t="shared" si="19"/>
        <v>2042</v>
      </c>
      <c r="AR49" s="6">
        <f t="shared" si="19"/>
        <v>2043</v>
      </c>
      <c r="AS49" s="6">
        <f t="shared" si="19"/>
        <v>2044</v>
      </c>
      <c r="AT49" s="6">
        <f t="shared" si="19"/>
        <v>2045</v>
      </c>
      <c r="AU49" s="6">
        <f t="shared" si="19"/>
        <v>2046</v>
      </c>
      <c r="AV49" s="6">
        <f t="shared" si="19"/>
        <v>2047</v>
      </c>
      <c r="AW49" s="6">
        <f t="shared" si="19"/>
        <v>2048</v>
      </c>
      <c r="AX49" s="6">
        <f t="shared" si="19"/>
        <v>2049</v>
      </c>
      <c r="AY49" s="6">
        <f t="shared" si="19"/>
        <v>2050</v>
      </c>
      <c r="AZ49" s="6">
        <f t="shared" si="19"/>
        <v>2051</v>
      </c>
      <c r="BA49" s="6">
        <f t="shared" si="19"/>
        <v>2052</v>
      </c>
      <c r="BB49" s="6">
        <f t="shared" si="19"/>
        <v>2053</v>
      </c>
      <c r="BC49" s="6">
        <f t="shared" si="19"/>
        <v>2054</v>
      </c>
      <c r="BD49" s="6">
        <f t="shared" si="19"/>
        <v>2055</v>
      </c>
      <c r="BE49" s="6">
        <f t="shared" si="19"/>
        <v>2056</v>
      </c>
      <c r="BF49" s="6">
        <f t="shared" si="19"/>
        <v>2057</v>
      </c>
      <c r="BG49" s="6">
        <f t="shared" si="19"/>
        <v>2058</v>
      </c>
      <c r="BH49" s="6">
        <f t="shared" si="19"/>
        <v>2059</v>
      </c>
      <c r="BI49" s="6">
        <f t="shared" si="19"/>
        <v>2060</v>
      </c>
      <c r="BJ49" s="6">
        <f t="shared" si="19"/>
        <v>2061</v>
      </c>
    </row>
    <row r="50" spans="1:62">
      <c r="A50" s="157" t="s">
        <v>363</v>
      </c>
      <c r="B50" s="172"/>
      <c r="C50" s="172"/>
      <c r="D50" s="172"/>
      <c r="E50" s="172"/>
      <c r="F50" s="172"/>
      <c r="G50" s="172"/>
      <c r="H50" s="172"/>
      <c r="I50" s="172"/>
      <c r="J50" s="172"/>
      <c r="K50" s="172"/>
      <c r="L50" s="172"/>
      <c r="M50" s="172"/>
      <c r="N50" s="172"/>
      <c r="O50" s="172"/>
      <c r="P50" s="172"/>
      <c r="Q50" s="172"/>
      <c r="R50" s="172"/>
      <c r="S50" s="173"/>
      <c r="T50" s="174">
        <f>$S$34</f>
        <v>1</v>
      </c>
      <c r="U50" s="175">
        <f>T50+($AE50-$T50)/($AE$49-$T$49)</f>
        <v>0.99290909090909085</v>
      </c>
      <c r="V50" s="171">
        <f t="shared" ref="V50:AD50" si="20">U50+($AE50-$T50)/($AE$49-$T$49)</f>
        <v>0.9858181818181817</v>
      </c>
      <c r="W50" s="171">
        <f t="shared" si="20"/>
        <v>0.97872727272727256</v>
      </c>
      <c r="X50" s="171">
        <f t="shared" si="20"/>
        <v>0.97163636363636341</v>
      </c>
      <c r="Y50" s="171">
        <f t="shared" si="20"/>
        <v>0.96454545454545426</v>
      </c>
      <c r="Z50" s="171">
        <f t="shared" si="20"/>
        <v>0.95745454545454511</v>
      </c>
      <c r="AA50" s="171">
        <f t="shared" si="20"/>
        <v>0.95036363636363597</v>
      </c>
      <c r="AB50" s="171">
        <f t="shared" si="20"/>
        <v>0.94327272727272682</v>
      </c>
      <c r="AC50" s="171">
        <f t="shared" si="20"/>
        <v>0.93618181818181767</v>
      </c>
      <c r="AD50" s="171">
        <f t="shared" si="20"/>
        <v>0.92909090909090852</v>
      </c>
      <c r="AE50" s="174">
        <f>$T$34</f>
        <v>0.92199999999999993</v>
      </c>
      <c r="AF50" s="171">
        <f>AE50+($AY50-$AE50)/($AY$49-$AE$49)</f>
        <v>0.90934999999999988</v>
      </c>
      <c r="AG50" s="171">
        <f t="shared" ref="AG50:AX53" si="21">AF50+($AY50-$AE50)/($AY$49-$AE$49)</f>
        <v>0.89669999999999983</v>
      </c>
      <c r="AH50" s="171">
        <f t="shared" si="21"/>
        <v>0.88404999999999978</v>
      </c>
      <c r="AI50" s="171">
        <f t="shared" si="21"/>
        <v>0.87139999999999973</v>
      </c>
      <c r="AJ50" s="171">
        <f t="shared" si="21"/>
        <v>0.85874999999999968</v>
      </c>
      <c r="AK50" s="171">
        <f t="shared" si="21"/>
        <v>0.84609999999999963</v>
      </c>
      <c r="AL50" s="171">
        <f t="shared" si="21"/>
        <v>0.83344999999999958</v>
      </c>
      <c r="AM50" s="171">
        <f t="shared" si="21"/>
        <v>0.82079999999999953</v>
      </c>
      <c r="AN50" s="171">
        <f t="shared" si="21"/>
        <v>0.80814999999999948</v>
      </c>
      <c r="AO50" s="171">
        <f t="shared" si="21"/>
        <v>0.79549999999999943</v>
      </c>
      <c r="AP50" s="171">
        <f t="shared" si="21"/>
        <v>0.78284999999999938</v>
      </c>
      <c r="AQ50" s="171">
        <f t="shared" si="21"/>
        <v>0.77019999999999933</v>
      </c>
      <c r="AR50" s="171">
        <f t="shared" si="21"/>
        <v>0.75754999999999928</v>
      </c>
      <c r="AS50" s="171">
        <f t="shared" si="21"/>
        <v>0.74489999999999923</v>
      </c>
      <c r="AT50" s="171">
        <f t="shared" si="21"/>
        <v>0.73224999999999918</v>
      </c>
      <c r="AU50" s="171">
        <f t="shared" si="21"/>
        <v>0.71959999999999913</v>
      </c>
      <c r="AV50" s="171">
        <f t="shared" si="21"/>
        <v>0.70694999999999908</v>
      </c>
      <c r="AW50" s="171">
        <f t="shared" si="21"/>
        <v>0.69429999999999903</v>
      </c>
      <c r="AX50" s="171">
        <f t="shared" si="21"/>
        <v>0.68164999999999898</v>
      </c>
      <c r="AY50" s="174">
        <f>$U$34</f>
        <v>0.66900000000000004</v>
      </c>
      <c r="AZ50" s="171">
        <f>AY50</f>
        <v>0.66900000000000004</v>
      </c>
      <c r="BA50" s="171">
        <f t="shared" ref="BA50:BJ53" si="22">AZ50</f>
        <v>0.66900000000000004</v>
      </c>
      <c r="BB50" s="171">
        <f t="shared" si="22"/>
        <v>0.66900000000000004</v>
      </c>
      <c r="BC50" s="171">
        <f t="shared" si="22"/>
        <v>0.66900000000000004</v>
      </c>
      <c r="BD50" s="171">
        <f t="shared" si="22"/>
        <v>0.66900000000000004</v>
      </c>
      <c r="BE50" s="171">
        <f t="shared" si="22"/>
        <v>0.66900000000000004</v>
      </c>
      <c r="BF50" s="171">
        <f t="shared" si="22"/>
        <v>0.66900000000000004</v>
      </c>
      <c r="BG50" s="171">
        <f t="shared" si="22"/>
        <v>0.66900000000000004</v>
      </c>
      <c r="BH50" s="171">
        <f t="shared" si="22"/>
        <v>0.66900000000000004</v>
      </c>
      <c r="BI50" s="171">
        <f t="shared" si="22"/>
        <v>0.66900000000000004</v>
      </c>
      <c r="BJ50" s="171">
        <f t="shared" si="22"/>
        <v>0.66900000000000004</v>
      </c>
    </row>
    <row r="51" spans="1:62" s="208" customFormat="1">
      <c r="A51" s="206" t="s">
        <v>361</v>
      </c>
      <c r="B51" s="201"/>
      <c r="C51" s="201"/>
      <c r="D51" s="201"/>
      <c r="E51" s="201"/>
      <c r="F51" s="201"/>
      <c r="G51" s="201"/>
      <c r="H51" s="201"/>
      <c r="I51" s="201"/>
      <c r="J51" s="201"/>
      <c r="K51" s="201"/>
      <c r="L51" s="201"/>
      <c r="M51" s="201"/>
      <c r="N51" s="201"/>
      <c r="O51" s="201"/>
      <c r="P51" s="201"/>
      <c r="Q51" s="201"/>
      <c r="R51" s="201"/>
      <c r="S51" s="202"/>
      <c r="T51" s="203">
        <f>$S$35</f>
        <v>0.67903598504544949</v>
      </c>
      <c r="U51" s="204">
        <f t="shared" ref="U51:AD53" si="23">T51+($AE51-$T51)/($AE$49-$T$49)</f>
        <v>0.67621453185949953</v>
      </c>
      <c r="V51" s="205">
        <f t="shared" si="23"/>
        <v>0.67339307867354958</v>
      </c>
      <c r="W51" s="205">
        <f t="shared" si="23"/>
        <v>0.67057162548759963</v>
      </c>
      <c r="X51" s="205">
        <f t="shared" si="23"/>
        <v>0.66775017230164968</v>
      </c>
      <c r="Y51" s="205">
        <f t="shared" si="23"/>
        <v>0.66492871911569973</v>
      </c>
      <c r="Z51" s="205">
        <f t="shared" si="23"/>
        <v>0.66210726592974978</v>
      </c>
      <c r="AA51" s="205">
        <f t="shared" si="23"/>
        <v>0.65928581274379983</v>
      </c>
      <c r="AB51" s="205">
        <f t="shared" si="23"/>
        <v>0.65646435955784987</v>
      </c>
      <c r="AC51" s="205">
        <f t="shared" si="23"/>
        <v>0.65364290637189992</v>
      </c>
      <c r="AD51" s="205">
        <f t="shared" si="23"/>
        <v>0.65082145318594997</v>
      </c>
      <c r="AE51" s="203">
        <f>$T$35</f>
        <v>0.64799999999999991</v>
      </c>
      <c r="AF51" s="205">
        <f t="shared" ref="AF51:AU53" si="24">AE51+($AY51-$AE51)/($AY$49-$AE$49)</f>
        <v>0.64039999999999986</v>
      </c>
      <c r="AG51" s="205">
        <f t="shared" si="24"/>
        <v>0.63279999999999981</v>
      </c>
      <c r="AH51" s="205">
        <f t="shared" si="24"/>
        <v>0.62519999999999976</v>
      </c>
      <c r="AI51" s="205">
        <f t="shared" si="24"/>
        <v>0.6175999999999997</v>
      </c>
      <c r="AJ51" s="205">
        <f t="shared" si="24"/>
        <v>0.60999999999999965</v>
      </c>
      <c r="AK51" s="205">
        <f t="shared" si="24"/>
        <v>0.6023999999999996</v>
      </c>
      <c r="AL51" s="205">
        <f t="shared" si="24"/>
        <v>0.59479999999999955</v>
      </c>
      <c r="AM51" s="205">
        <f t="shared" si="24"/>
        <v>0.5871999999999995</v>
      </c>
      <c r="AN51" s="205">
        <f t="shared" si="24"/>
        <v>0.57959999999999945</v>
      </c>
      <c r="AO51" s="205">
        <f t="shared" si="24"/>
        <v>0.5719999999999994</v>
      </c>
      <c r="AP51" s="205">
        <f t="shared" si="24"/>
        <v>0.56439999999999935</v>
      </c>
      <c r="AQ51" s="205">
        <f t="shared" si="24"/>
        <v>0.5567999999999993</v>
      </c>
      <c r="AR51" s="205">
        <f t="shared" si="24"/>
        <v>0.54919999999999924</v>
      </c>
      <c r="AS51" s="205">
        <f t="shared" si="24"/>
        <v>0.54159999999999919</v>
      </c>
      <c r="AT51" s="205">
        <f t="shared" si="24"/>
        <v>0.53399999999999914</v>
      </c>
      <c r="AU51" s="205">
        <f t="shared" si="24"/>
        <v>0.52639999999999909</v>
      </c>
      <c r="AV51" s="205">
        <f t="shared" si="21"/>
        <v>0.51879999999999904</v>
      </c>
      <c r="AW51" s="205">
        <f t="shared" si="21"/>
        <v>0.51119999999999899</v>
      </c>
      <c r="AX51" s="205">
        <f t="shared" si="21"/>
        <v>0.50359999999999894</v>
      </c>
      <c r="AY51" s="203">
        <f>$U$35</f>
        <v>0.496</v>
      </c>
      <c r="AZ51" s="205">
        <f t="shared" ref="AZ51:BJ52" si="25">AY51</f>
        <v>0.496</v>
      </c>
      <c r="BA51" s="205">
        <f t="shared" si="25"/>
        <v>0.496</v>
      </c>
      <c r="BB51" s="205">
        <f t="shared" si="25"/>
        <v>0.496</v>
      </c>
      <c r="BC51" s="205">
        <f t="shared" si="25"/>
        <v>0.496</v>
      </c>
      <c r="BD51" s="205">
        <f t="shared" si="25"/>
        <v>0.496</v>
      </c>
      <c r="BE51" s="205">
        <f t="shared" si="25"/>
        <v>0.496</v>
      </c>
      <c r="BF51" s="205">
        <f t="shared" si="25"/>
        <v>0.496</v>
      </c>
      <c r="BG51" s="205">
        <f t="shared" si="25"/>
        <v>0.496</v>
      </c>
      <c r="BH51" s="205">
        <f t="shared" si="25"/>
        <v>0.496</v>
      </c>
      <c r="BI51" s="205">
        <f t="shared" si="25"/>
        <v>0.496</v>
      </c>
      <c r="BJ51" s="205">
        <f t="shared" si="25"/>
        <v>0.496</v>
      </c>
    </row>
    <row r="52" spans="1:62" s="208" customFormat="1">
      <c r="A52" s="206" t="s">
        <v>71</v>
      </c>
      <c r="B52" s="201"/>
      <c r="C52" s="201"/>
      <c r="D52" s="201"/>
      <c r="E52" s="201"/>
      <c r="F52" s="201"/>
      <c r="G52" s="201"/>
      <c r="H52" s="201"/>
      <c r="I52" s="201"/>
      <c r="J52" s="201"/>
      <c r="K52" s="201"/>
      <c r="L52" s="201"/>
      <c r="M52" s="201"/>
      <c r="N52" s="201"/>
      <c r="O52" s="201"/>
      <c r="P52" s="201"/>
      <c r="Q52" s="201"/>
      <c r="R52" s="201"/>
      <c r="S52" s="202"/>
      <c r="T52" s="203">
        <f>$S$36</f>
        <v>0.32096401495455057</v>
      </c>
      <c r="U52" s="204">
        <f t="shared" si="23"/>
        <v>0.31669455904959143</v>
      </c>
      <c r="V52" s="205">
        <f t="shared" si="23"/>
        <v>0.31242510314463229</v>
      </c>
      <c r="W52" s="205">
        <f t="shared" si="23"/>
        <v>0.30815564723967315</v>
      </c>
      <c r="X52" s="205">
        <f t="shared" si="23"/>
        <v>0.30388619133471401</v>
      </c>
      <c r="Y52" s="205">
        <f t="shared" si="23"/>
        <v>0.29961673542975487</v>
      </c>
      <c r="Z52" s="205">
        <f t="shared" si="23"/>
        <v>0.29534727952479572</v>
      </c>
      <c r="AA52" s="205">
        <f t="shared" si="23"/>
        <v>0.29107782361983658</v>
      </c>
      <c r="AB52" s="205">
        <f t="shared" si="23"/>
        <v>0.28680836771487744</v>
      </c>
      <c r="AC52" s="205">
        <f t="shared" si="23"/>
        <v>0.2825389118099183</v>
      </c>
      <c r="AD52" s="205">
        <f t="shared" si="23"/>
        <v>0.27826945590495916</v>
      </c>
      <c r="AE52" s="203">
        <f>$T$36</f>
        <v>0.27400000000000002</v>
      </c>
      <c r="AF52" s="205">
        <f t="shared" si="24"/>
        <v>0.26895000000000002</v>
      </c>
      <c r="AG52" s="205">
        <f t="shared" si="21"/>
        <v>0.26390000000000002</v>
      </c>
      <c r="AH52" s="205">
        <f t="shared" si="21"/>
        <v>0.25885000000000002</v>
      </c>
      <c r="AI52" s="205">
        <f t="shared" si="21"/>
        <v>0.25380000000000003</v>
      </c>
      <c r="AJ52" s="205">
        <f t="shared" si="21"/>
        <v>0.24875000000000003</v>
      </c>
      <c r="AK52" s="205">
        <f t="shared" si="21"/>
        <v>0.24370000000000003</v>
      </c>
      <c r="AL52" s="205">
        <f t="shared" si="21"/>
        <v>0.23865000000000003</v>
      </c>
      <c r="AM52" s="205">
        <f t="shared" si="21"/>
        <v>0.23360000000000003</v>
      </c>
      <c r="AN52" s="205">
        <f t="shared" si="21"/>
        <v>0.22855000000000003</v>
      </c>
      <c r="AO52" s="205">
        <f t="shared" si="21"/>
        <v>0.22350000000000003</v>
      </c>
      <c r="AP52" s="205">
        <f t="shared" si="21"/>
        <v>0.21845000000000003</v>
      </c>
      <c r="AQ52" s="205">
        <f t="shared" si="21"/>
        <v>0.21340000000000003</v>
      </c>
      <c r="AR52" s="205">
        <f t="shared" si="21"/>
        <v>0.20835000000000004</v>
      </c>
      <c r="AS52" s="205">
        <f t="shared" si="21"/>
        <v>0.20330000000000004</v>
      </c>
      <c r="AT52" s="205">
        <f t="shared" si="21"/>
        <v>0.19825000000000004</v>
      </c>
      <c r="AU52" s="205">
        <f t="shared" si="21"/>
        <v>0.19320000000000004</v>
      </c>
      <c r="AV52" s="205">
        <f t="shared" si="21"/>
        <v>0.18815000000000004</v>
      </c>
      <c r="AW52" s="205">
        <f t="shared" si="21"/>
        <v>0.18310000000000004</v>
      </c>
      <c r="AX52" s="205">
        <f t="shared" si="21"/>
        <v>0.17805000000000004</v>
      </c>
      <c r="AY52" s="203">
        <f>$U$36</f>
        <v>0.17299999999999999</v>
      </c>
      <c r="AZ52" s="205">
        <f t="shared" si="25"/>
        <v>0.17299999999999999</v>
      </c>
      <c r="BA52" s="205">
        <f t="shared" si="25"/>
        <v>0.17299999999999999</v>
      </c>
      <c r="BB52" s="205">
        <f t="shared" si="25"/>
        <v>0.17299999999999999</v>
      </c>
      <c r="BC52" s="205">
        <f t="shared" si="25"/>
        <v>0.17299999999999999</v>
      </c>
      <c r="BD52" s="205">
        <f t="shared" si="25"/>
        <v>0.17299999999999999</v>
      </c>
      <c r="BE52" s="205">
        <f t="shared" si="25"/>
        <v>0.17299999999999999</v>
      </c>
      <c r="BF52" s="205">
        <f t="shared" si="25"/>
        <v>0.17299999999999999</v>
      </c>
      <c r="BG52" s="205">
        <f t="shared" si="25"/>
        <v>0.17299999999999999</v>
      </c>
      <c r="BH52" s="205">
        <f t="shared" si="25"/>
        <v>0.17299999999999999</v>
      </c>
      <c r="BI52" s="205">
        <f t="shared" si="25"/>
        <v>0.17299999999999999</v>
      </c>
      <c r="BJ52" s="205">
        <f t="shared" si="25"/>
        <v>0.17299999999999999</v>
      </c>
    </row>
    <row r="53" spans="1:62">
      <c r="A53" s="157" t="s">
        <v>75</v>
      </c>
      <c r="B53" s="172"/>
      <c r="C53" s="172"/>
      <c r="D53" s="172"/>
      <c r="E53" s="172"/>
      <c r="F53" s="172"/>
      <c r="G53" s="172"/>
      <c r="H53" s="172"/>
      <c r="I53" s="172"/>
      <c r="J53" s="172"/>
      <c r="K53" s="172"/>
      <c r="L53" s="172"/>
      <c r="M53" s="172"/>
      <c r="N53" s="172"/>
      <c r="O53" s="172"/>
      <c r="P53" s="172"/>
      <c r="Q53" s="172"/>
      <c r="R53" s="172"/>
      <c r="S53" s="173"/>
      <c r="T53" s="174">
        <f>$S$37</f>
        <v>0</v>
      </c>
      <c r="U53" s="175">
        <f t="shared" si="23"/>
        <v>7.0909090909090913E-3</v>
      </c>
      <c r="V53" s="171">
        <f t="shared" si="23"/>
        <v>1.4181818181818183E-2</v>
      </c>
      <c r="W53" s="171">
        <f t="shared" si="23"/>
        <v>2.1272727272727273E-2</v>
      </c>
      <c r="X53" s="171">
        <f t="shared" si="23"/>
        <v>2.8363636363636365E-2</v>
      </c>
      <c r="Y53" s="171">
        <f t="shared" si="23"/>
        <v>3.5454545454545454E-2</v>
      </c>
      <c r="Z53" s="171">
        <f t="shared" si="23"/>
        <v>4.2545454545454546E-2</v>
      </c>
      <c r="AA53" s="171">
        <f t="shared" si="23"/>
        <v>4.9636363636363638E-2</v>
      </c>
      <c r="AB53" s="171">
        <f t="shared" si="23"/>
        <v>5.672727272727273E-2</v>
      </c>
      <c r="AC53" s="171">
        <f t="shared" si="23"/>
        <v>6.3818181818181816E-2</v>
      </c>
      <c r="AD53" s="171">
        <f t="shared" si="23"/>
        <v>7.0909090909090908E-2</v>
      </c>
      <c r="AE53" s="174">
        <f>$T$37</f>
        <v>7.8E-2</v>
      </c>
      <c r="AF53" s="171">
        <f t="shared" si="24"/>
        <v>9.0649999999999994E-2</v>
      </c>
      <c r="AG53" s="171">
        <f t="shared" si="21"/>
        <v>0.10329999999999999</v>
      </c>
      <c r="AH53" s="171">
        <f t="shared" si="21"/>
        <v>0.11594999999999998</v>
      </c>
      <c r="AI53" s="171">
        <f t="shared" si="21"/>
        <v>0.12859999999999999</v>
      </c>
      <c r="AJ53" s="171">
        <f t="shared" si="21"/>
        <v>0.14124999999999999</v>
      </c>
      <c r="AK53" s="171">
        <f t="shared" si="21"/>
        <v>0.15389999999999998</v>
      </c>
      <c r="AL53" s="171">
        <f t="shared" si="21"/>
        <v>0.16654999999999998</v>
      </c>
      <c r="AM53" s="171">
        <f t="shared" si="21"/>
        <v>0.17919999999999997</v>
      </c>
      <c r="AN53" s="171">
        <f t="shared" si="21"/>
        <v>0.19184999999999997</v>
      </c>
      <c r="AO53" s="171">
        <f t="shared" si="21"/>
        <v>0.20449999999999996</v>
      </c>
      <c r="AP53" s="171">
        <f t="shared" si="21"/>
        <v>0.21714999999999995</v>
      </c>
      <c r="AQ53" s="171">
        <f t="shared" si="21"/>
        <v>0.22979999999999995</v>
      </c>
      <c r="AR53" s="171">
        <f t="shared" si="21"/>
        <v>0.24244999999999994</v>
      </c>
      <c r="AS53" s="171">
        <f t="shared" si="21"/>
        <v>0.25509999999999994</v>
      </c>
      <c r="AT53" s="171">
        <f t="shared" si="21"/>
        <v>0.26774999999999993</v>
      </c>
      <c r="AU53" s="171">
        <f t="shared" si="21"/>
        <v>0.28039999999999993</v>
      </c>
      <c r="AV53" s="171">
        <f t="shared" si="21"/>
        <v>0.29304999999999992</v>
      </c>
      <c r="AW53" s="171">
        <f t="shared" si="21"/>
        <v>0.30569999999999992</v>
      </c>
      <c r="AX53" s="171">
        <f t="shared" si="21"/>
        <v>0.31834999999999991</v>
      </c>
      <c r="AY53" s="174">
        <f>$U$37</f>
        <v>0.33100000000000002</v>
      </c>
      <c r="AZ53" s="171">
        <f>AY53</f>
        <v>0.33100000000000002</v>
      </c>
      <c r="BA53" s="171">
        <f t="shared" si="22"/>
        <v>0.33100000000000002</v>
      </c>
      <c r="BB53" s="171">
        <f t="shared" si="22"/>
        <v>0.33100000000000002</v>
      </c>
      <c r="BC53" s="171">
        <f t="shared" si="22"/>
        <v>0.33100000000000002</v>
      </c>
      <c r="BD53" s="171">
        <f t="shared" si="22"/>
        <v>0.33100000000000002</v>
      </c>
      <c r="BE53" s="171">
        <f t="shared" si="22"/>
        <v>0.33100000000000002</v>
      </c>
      <c r="BF53" s="171">
        <f t="shared" si="22"/>
        <v>0.33100000000000002</v>
      </c>
      <c r="BG53" s="171">
        <f t="shared" si="22"/>
        <v>0.33100000000000002</v>
      </c>
      <c r="BH53" s="171">
        <f t="shared" si="22"/>
        <v>0.33100000000000002</v>
      </c>
      <c r="BI53" s="171">
        <f t="shared" si="22"/>
        <v>0.33100000000000002</v>
      </c>
      <c r="BJ53" s="171">
        <f t="shared" si="22"/>
        <v>0.33100000000000002</v>
      </c>
    </row>
    <row r="54" spans="1:62">
      <c r="A54" s="176"/>
      <c r="B54" s="177"/>
      <c r="C54" s="177"/>
      <c r="D54" s="177"/>
      <c r="E54" s="177"/>
      <c r="F54" s="177"/>
      <c r="G54" s="177"/>
      <c r="H54" s="177"/>
      <c r="I54" s="177"/>
      <c r="J54" s="177"/>
      <c r="K54" s="177"/>
      <c r="L54" s="177"/>
      <c r="M54" s="177"/>
      <c r="N54" s="177"/>
      <c r="O54" s="177"/>
      <c r="P54" s="177"/>
      <c r="Q54" s="177"/>
      <c r="R54" s="177"/>
      <c r="S54" s="177"/>
      <c r="T54" s="177" t="b">
        <f>ROUND(SUM(T50,T53),10)=100%</f>
        <v>1</v>
      </c>
      <c r="U54" s="177" t="b">
        <f t="shared" ref="U54:BI54" si="26">ROUND(SUM(U50,U53),10)=100%</f>
        <v>1</v>
      </c>
      <c r="V54" s="177" t="b">
        <f t="shared" si="26"/>
        <v>1</v>
      </c>
      <c r="W54" s="177" t="b">
        <f t="shared" si="26"/>
        <v>1</v>
      </c>
      <c r="X54" s="177" t="b">
        <f t="shared" si="26"/>
        <v>1</v>
      </c>
      <c r="Y54" s="177" t="b">
        <f t="shared" si="26"/>
        <v>1</v>
      </c>
      <c r="Z54" s="177" t="b">
        <f t="shared" si="26"/>
        <v>1</v>
      </c>
      <c r="AA54" s="177" t="b">
        <f t="shared" si="26"/>
        <v>1</v>
      </c>
      <c r="AB54" s="177" t="b">
        <f t="shared" si="26"/>
        <v>1</v>
      </c>
      <c r="AC54" s="177" t="b">
        <f t="shared" si="26"/>
        <v>1</v>
      </c>
      <c r="AD54" s="177" t="b">
        <f t="shared" si="26"/>
        <v>1</v>
      </c>
      <c r="AE54" s="177" t="b">
        <f t="shared" si="26"/>
        <v>1</v>
      </c>
      <c r="AF54" s="177" t="b">
        <f t="shared" si="26"/>
        <v>1</v>
      </c>
      <c r="AG54" s="177" t="b">
        <f t="shared" si="26"/>
        <v>1</v>
      </c>
      <c r="AH54" s="177" t="b">
        <f t="shared" si="26"/>
        <v>1</v>
      </c>
      <c r="AI54" s="177" t="b">
        <f t="shared" si="26"/>
        <v>1</v>
      </c>
      <c r="AJ54" s="177" t="b">
        <f t="shared" si="26"/>
        <v>1</v>
      </c>
      <c r="AK54" s="177" t="b">
        <f t="shared" si="26"/>
        <v>1</v>
      </c>
      <c r="AL54" s="177" t="b">
        <f t="shared" si="26"/>
        <v>1</v>
      </c>
      <c r="AM54" s="177" t="b">
        <f t="shared" si="26"/>
        <v>1</v>
      </c>
      <c r="AN54" s="177" t="b">
        <f t="shared" si="26"/>
        <v>1</v>
      </c>
      <c r="AO54" s="177" t="b">
        <f t="shared" si="26"/>
        <v>1</v>
      </c>
      <c r="AP54" s="177" t="b">
        <f t="shared" si="26"/>
        <v>1</v>
      </c>
      <c r="AQ54" s="177" t="b">
        <f t="shared" si="26"/>
        <v>1</v>
      </c>
      <c r="AR54" s="177" t="b">
        <f t="shared" si="26"/>
        <v>1</v>
      </c>
      <c r="AS54" s="177" t="b">
        <f t="shared" si="26"/>
        <v>1</v>
      </c>
      <c r="AT54" s="177" t="b">
        <f t="shared" si="26"/>
        <v>1</v>
      </c>
      <c r="AU54" s="177" t="b">
        <f t="shared" si="26"/>
        <v>1</v>
      </c>
      <c r="AV54" s="177" t="b">
        <f t="shared" si="26"/>
        <v>1</v>
      </c>
      <c r="AW54" s="177" t="b">
        <f t="shared" si="26"/>
        <v>1</v>
      </c>
      <c r="AX54" s="177" t="b">
        <f t="shared" si="26"/>
        <v>1</v>
      </c>
      <c r="AY54" s="177" t="b">
        <f t="shared" si="26"/>
        <v>1</v>
      </c>
      <c r="AZ54" s="177" t="b">
        <f t="shared" si="26"/>
        <v>1</v>
      </c>
      <c r="BA54" s="177" t="b">
        <f t="shared" si="26"/>
        <v>1</v>
      </c>
      <c r="BB54" s="177" t="b">
        <f t="shared" si="26"/>
        <v>1</v>
      </c>
      <c r="BC54" s="177" t="b">
        <f t="shared" si="26"/>
        <v>1</v>
      </c>
      <c r="BD54" s="177" t="b">
        <f t="shared" si="26"/>
        <v>1</v>
      </c>
      <c r="BE54" s="177" t="b">
        <f t="shared" si="26"/>
        <v>1</v>
      </c>
      <c r="BF54" s="177" t="b">
        <f t="shared" si="26"/>
        <v>1</v>
      </c>
      <c r="BG54" s="177" t="b">
        <f t="shared" si="26"/>
        <v>1</v>
      </c>
      <c r="BH54" s="177" t="b">
        <f t="shared" si="26"/>
        <v>1</v>
      </c>
      <c r="BI54" s="177" t="b">
        <f t="shared" si="26"/>
        <v>1</v>
      </c>
      <c r="BJ54" s="177" t="b">
        <f t="shared" ref="BJ54" si="27">ROUND(SUM(BJ50,BJ53),10)=100%</f>
        <v>1</v>
      </c>
    </row>
    <row r="55" spans="1:62">
      <c r="A55" s="168" t="s">
        <v>86</v>
      </c>
      <c r="AG55" s="35"/>
      <c r="BJ55" s="454"/>
    </row>
    <row r="56" spans="1:62">
      <c r="A56" s="9" t="s">
        <v>70</v>
      </c>
      <c r="B56" s="508" t="s">
        <v>0</v>
      </c>
      <c r="C56" s="2"/>
      <c r="D56" s="2"/>
      <c r="E56" s="2"/>
      <c r="F56" s="2"/>
      <c r="G56" s="2"/>
      <c r="H56" s="2"/>
      <c r="I56" s="2"/>
      <c r="J56" s="2"/>
      <c r="K56" s="2"/>
      <c r="L56" s="2"/>
      <c r="M56" s="2"/>
      <c r="N56" s="2"/>
      <c r="O56" s="2"/>
      <c r="P56" s="2"/>
      <c r="Q56" s="6"/>
      <c r="R56" s="6"/>
      <c r="S56" s="6"/>
      <c r="T56" s="6">
        <v>2019</v>
      </c>
      <c r="U56" s="6">
        <f t="shared" ref="U56:BJ56" si="28">T56+1</f>
        <v>2020</v>
      </c>
      <c r="V56" s="6">
        <f t="shared" si="28"/>
        <v>2021</v>
      </c>
      <c r="W56" s="6">
        <f t="shared" si="28"/>
        <v>2022</v>
      </c>
      <c r="X56" s="6">
        <f t="shared" si="28"/>
        <v>2023</v>
      </c>
      <c r="Y56" s="6">
        <f t="shared" si="28"/>
        <v>2024</v>
      </c>
      <c r="Z56" s="6">
        <f t="shared" si="28"/>
        <v>2025</v>
      </c>
      <c r="AA56" s="6">
        <f t="shared" si="28"/>
        <v>2026</v>
      </c>
      <c r="AB56" s="6">
        <f t="shared" si="28"/>
        <v>2027</v>
      </c>
      <c r="AC56" s="6">
        <f t="shared" si="28"/>
        <v>2028</v>
      </c>
      <c r="AD56" s="6">
        <f t="shared" si="28"/>
        <v>2029</v>
      </c>
      <c r="AE56" s="6">
        <f t="shared" si="28"/>
        <v>2030</v>
      </c>
      <c r="AF56" s="6">
        <f t="shared" si="28"/>
        <v>2031</v>
      </c>
      <c r="AG56" s="6">
        <f t="shared" si="28"/>
        <v>2032</v>
      </c>
      <c r="AH56" s="6">
        <f t="shared" si="28"/>
        <v>2033</v>
      </c>
      <c r="AI56" s="6">
        <f t="shared" si="28"/>
        <v>2034</v>
      </c>
      <c r="AJ56" s="6">
        <f t="shared" si="28"/>
        <v>2035</v>
      </c>
      <c r="AK56" s="6">
        <f t="shared" si="28"/>
        <v>2036</v>
      </c>
      <c r="AL56" s="6">
        <f t="shared" si="28"/>
        <v>2037</v>
      </c>
      <c r="AM56" s="6">
        <f t="shared" si="28"/>
        <v>2038</v>
      </c>
      <c r="AN56" s="6">
        <f t="shared" si="28"/>
        <v>2039</v>
      </c>
      <c r="AO56" s="6">
        <f t="shared" si="28"/>
        <v>2040</v>
      </c>
      <c r="AP56" s="6">
        <f t="shared" si="28"/>
        <v>2041</v>
      </c>
      <c r="AQ56" s="6">
        <f t="shared" si="28"/>
        <v>2042</v>
      </c>
      <c r="AR56" s="6">
        <f t="shared" si="28"/>
        <v>2043</v>
      </c>
      <c r="AS56" s="6">
        <f t="shared" si="28"/>
        <v>2044</v>
      </c>
      <c r="AT56" s="6">
        <f t="shared" si="28"/>
        <v>2045</v>
      </c>
      <c r="AU56" s="6">
        <f t="shared" si="28"/>
        <v>2046</v>
      </c>
      <c r="AV56" s="6">
        <f t="shared" si="28"/>
        <v>2047</v>
      </c>
      <c r="AW56" s="6">
        <f t="shared" si="28"/>
        <v>2048</v>
      </c>
      <c r="AX56" s="6">
        <f t="shared" si="28"/>
        <v>2049</v>
      </c>
      <c r="AY56" s="6">
        <f t="shared" si="28"/>
        <v>2050</v>
      </c>
      <c r="AZ56" s="6">
        <f t="shared" si="28"/>
        <v>2051</v>
      </c>
      <c r="BA56" s="6">
        <f t="shared" si="28"/>
        <v>2052</v>
      </c>
      <c r="BB56" s="6">
        <f t="shared" si="28"/>
        <v>2053</v>
      </c>
      <c r="BC56" s="6">
        <f t="shared" si="28"/>
        <v>2054</v>
      </c>
      <c r="BD56" s="6">
        <f t="shared" si="28"/>
        <v>2055</v>
      </c>
      <c r="BE56" s="6">
        <f t="shared" si="28"/>
        <v>2056</v>
      </c>
      <c r="BF56" s="6">
        <f t="shared" si="28"/>
        <v>2057</v>
      </c>
      <c r="BG56" s="6">
        <f t="shared" si="28"/>
        <v>2058</v>
      </c>
      <c r="BH56" s="6">
        <f t="shared" si="28"/>
        <v>2059</v>
      </c>
      <c r="BI56" s="6">
        <f t="shared" si="28"/>
        <v>2060</v>
      </c>
      <c r="BJ56" s="6">
        <f t="shared" si="28"/>
        <v>2061</v>
      </c>
    </row>
    <row r="57" spans="1:62">
      <c r="A57" s="157" t="s">
        <v>87</v>
      </c>
      <c r="B57" s="172"/>
      <c r="C57" s="172"/>
      <c r="D57" s="172"/>
      <c r="E57" s="172"/>
      <c r="F57" s="172"/>
      <c r="G57" s="172"/>
      <c r="H57" s="172"/>
      <c r="I57" s="172"/>
      <c r="J57" s="172"/>
      <c r="K57" s="172"/>
      <c r="L57" s="172"/>
      <c r="M57" s="172"/>
      <c r="N57" s="172"/>
      <c r="O57" s="172"/>
      <c r="P57" s="172"/>
      <c r="Q57" s="172"/>
      <c r="R57" s="172"/>
      <c r="S57" s="173"/>
      <c r="T57" s="174">
        <f>$Y$34</f>
        <v>1</v>
      </c>
      <c r="U57" s="175">
        <f>T57+($AE57-$T57)/($AE$56-$T$56)</f>
        <v>1</v>
      </c>
      <c r="V57" s="171">
        <f t="shared" ref="V57:AD57" si="29">U57+($AE57-$T57)/($AE$56-$T$56)</f>
        <v>1</v>
      </c>
      <c r="W57" s="171">
        <f t="shared" si="29"/>
        <v>1</v>
      </c>
      <c r="X57" s="171">
        <f t="shared" si="29"/>
        <v>1</v>
      </c>
      <c r="Y57" s="171">
        <f t="shared" si="29"/>
        <v>1</v>
      </c>
      <c r="Z57" s="171">
        <f t="shared" si="29"/>
        <v>1</v>
      </c>
      <c r="AA57" s="171">
        <f t="shared" si="29"/>
        <v>1</v>
      </c>
      <c r="AB57" s="171">
        <f t="shared" si="29"/>
        <v>1</v>
      </c>
      <c r="AC57" s="171">
        <f t="shared" si="29"/>
        <v>1</v>
      </c>
      <c r="AD57" s="171">
        <f t="shared" si="29"/>
        <v>1</v>
      </c>
      <c r="AE57" s="174">
        <f>$Z$34</f>
        <v>1</v>
      </c>
      <c r="AF57" s="171">
        <f>AE57+($AY57-$AE57)/($AY$56-$AE$56)</f>
        <v>1</v>
      </c>
      <c r="AG57" s="171">
        <f t="shared" ref="AG57:AX57" si="30">AF57+($AY57-$AE57)/($AY$56-$AE$56)</f>
        <v>1</v>
      </c>
      <c r="AH57" s="171">
        <f t="shared" si="30"/>
        <v>1</v>
      </c>
      <c r="AI57" s="171">
        <f t="shared" si="30"/>
        <v>1</v>
      </c>
      <c r="AJ57" s="171">
        <f t="shared" si="30"/>
        <v>1</v>
      </c>
      <c r="AK57" s="171">
        <f t="shared" si="30"/>
        <v>1</v>
      </c>
      <c r="AL57" s="171">
        <f t="shared" si="30"/>
        <v>1</v>
      </c>
      <c r="AM57" s="171">
        <f t="shared" si="30"/>
        <v>1</v>
      </c>
      <c r="AN57" s="171">
        <f t="shared" si="30"/>
        <v>1</v>
      </c>
      <c r="AO57" s="171">
        <f t="shared" si="30"/>
        <v>1</v>
      </c>
      <c r="AP57" s="171">
        <f t="shared" si="30"/>
        <v>1</v>
      </c>
      <c r="AQ57" s="171">
        <f t="shared" si="30"/>
        <v>1</v>
      </c>
      <c r="AR57" s="171">
        <f t="shared" si="30"/>
        <v>1</v>
      </c>
      <c r="AS57" s="171">
        <f t="shared" si="30"/>
        <v>1</v>
      </c>
      <c r="AT57" s="171">
        <f t="shared" si="30"/>
        <v>1</v>
      </c>
      <c r="AU57" s="171">
        <f t="shared" si="30"/>
        <v>1</v>
      </c>
      <c r="AV57" s="171">
        <f t="shared" si="30"/>
        <v>1</v>
      </c>
      <c r="AW57" s="171">
        <f t="shared" si="30"/>
        <v>1</v>
      </c>
      <c r="AX57" s="171">
        <f t="shared" si="30"/>
        <v>1</v>
      </c>
      <c r="AY57" s="174">
        <f>AA34</f>
        <v>1</v>
      </c>
      <c r="AZ57" s="171">
        <f>AY57</f>
        <v>1</v>
      </c>
      <c r="BA57" s="171">
        <f t="shared" ref="BA57:BJ58" si="31">AZ57</f>
        <v>1</v>
      </c>
      <c r="BB57" s="171">
        <f t="shared" si="31"/>
        <v>1</v>
      </c>
      <c r="BC57" s="171">
        <f t="shared" si="31"/>
        <v>1</v>
      </c>
      <c r="BD57" s="171">
        <f t="shared" si="31"/>
        <v>1</v>
      </c>
      <c r="BE57" s="171">
        <f t="shared" si="31"/>
        <v>1</v>
      </c>
      <c r="BF57" s="171">
        <f t="shared" si="31"/>
        <v>1</v>
      </c>
      <c r="BG57" s="171">
        <f t="shared" si="31"/>
        <v>1</v>
      </c>
      <c r="BH57" s="171">
        <f t="shared" si="31"/>
        <v>1</v>
      </c>
      <c r="BI57" s="171">
        <f t="shared" si="31"/>
        <v>1</v>
      </c>
      <c r="BJ57" s="171">
        <f t="shared" si="31"/>
        <v>1</v>
      </c>
    </row>
    <row r="58" spans="1:62">
      <c r="A58" s="157" t="s">
        <v>75</v>
      </c>
      <c r="B58" s="172"/>
      <c r="C58" s="172"/>
      <c r="D58" s="172"/>
      <c r="E58" s="172"/>
      <c r="F58" s="172"/>
      <c r="G58" s="172"/>
      <c r="H58" s="172"/>
      <c r="I58" s="172"/>
      <c r="J58" s="172"/>
      <c r="K58" s="172"/>
      <c r="L58" s="172"/>
      <c r="M58" s="172"/>
      <c r="N58" s="172"/>
      <c r="O58" s="172"/>
      <c r="P58" s="172"/>
      <c r="Q58" s="172"/>
      <c r="R58" s="172"/>
      <c r="S58" s="173"/>
      <c r="T58" s="174">
        <f>$Y$37</f>
        <v>0</v>
      </c>
      <c r="U58" s="175">
        <f>T58+($AE58-$T58)/($AE$56-$T$56)</f>
        <v>0</v>
      </c>
      <c r="V58" s="171">
        <f t="shared" ref="V58:AD58" si="32">U58+($AE58-$T58)/($AE$56-$T$56)</f>
        <v>0</v>
      </c>
      <c r="W58" s="171">
        <f t="shared" si="32"/>
        <v>0</v>
      </c>
      <c r="X58" s="171">
        <f t="shared" si="32"/>
        <v>0</v>
      </c>
      <c r="Y58" s="171">
        <f t="shared" si="32"/>
        <v>0</v>
      </c>
      <c r="Z58" s="171">
        <f t="shared" si="32"/>
        <v>0</v>
      </c>
      <c r="AA58" s="171">
        <f t="shared" si="32"/>
        <v>0</v>
      </c>
      <c r="AB58" s="171">
        <f t="shared" si="32"/>
        <v>0</v>
      </c>
      <c r="AC58" s="171">
        <f t="shared" si="32"/>
        <v>0</v>
      </c>
      <c r="AD58" s="171">
        <f t="shared" si="32"/>
        <v>0</v>
      </c>
      <c r="AE58" s="174">
        <f>$Z$37</f>
        <v>0</v>
      </c>
      <c r="AF58" s="171">
        <f>AE58+($AY58-$AE58)/($AY$56-$AE$56)</f>
        <v>0</v>
      </c>
      <c r="AG58" s="171">
        <f t="shared" ref="AG58:AX58" si="33">AF58+($AY58-$AE58)/($AY$56-$AE$56)</f>
        <v>0</v>
      </c>
      <c r="AH58" s="171">
        <f t="shared" si="33"/>
        <v>0</v>
      </c>
      <c r="AI58" s="171">
        <f t="shared" si="33"/>
        <v>0</v>
      </c>
      <c r="AJ58" s="171">
        <f t="shared" si="33"/>
        <v>0</v>
      </c>
      <c r="AK58" s="171">
        <f t="shared" si="33"/>
        <v>0</v>
      </c>
      <c r="AL58" s="171">
        <f t="shared" si="33"/>
        <v>0</v>
      </c>
      <c r="AM58" s="171">
        <f t="shared" si="33"/>
        <v>0</v>
      </c>
      <c r="AN58" s="171">
        <f t="shared" si="33"/>
        <v>0</v>
      </c>
      <c r="AO58" s="171">
        <f t="shared" si="33"/>
        <v>0</v>
      </c>
      <c r="AP58" s="171">
        <f t="shared" si="33"/>
        <v>0</v>
      </c>
      <c r="AQ58" s="171">
        <f t="shared" si="33"/>
        <v>0</v>
      </c>
      <c r="AR58" s="171">
        <f t="shared" si="33"/>
        <v>0</v>
      </c>
      <c r="AS58" s="171">
        <f t="shared" si="33"/>
        <v>0</v>
      </c>
      <c r="AT58" s="171">
        <f t="shared" si="33"/>
        <v>0</v>
      </c>
      <c r="AU58" s="171">
        <f t="shared" si="33"/>
        <v>0</v>
      </c>
      <c r="AV58" s="171">
        <f t="shared" si="33"/>
        <v>0</v>
      </c>
      <c r="AW58" s="171">
        <f t="shared" si="33"/>
        <v>0</v>
      </c>
      <c r="AX58" s="171">
        <f t="shared" si="33"/>
        <v>0</v>
      </c>
      <c r="AY58" s="174">
        <f>AA37</f>
        <v>0</v>
      </c>
      <c r="AZ58" s="171">
        <f>AY58</f>
        <v>0</v>
      </c>
      <c r="BA58" s="171">
        <f t="shared" si="31"/>
        <v>0</v>
      </c>
      <c r="BB58" s="171">
        <f t="shared" si="31"/>
        <v>0</v>
      </c>
      <c r="BC58" s="171">
        <f t="shared" si="31"/>
        <v>0</v>
      </c>
      <c r="BD58" s="171">
        <f t="shared" si="31"/>
        <v>0</v>
      </c>
      <c r="BE58" s="171">
        <f t="shared" si="31"/>
        <v>0</v>
      </c>
      <c r="BF58" s="171">
        <f t="shared" si="31"/>
        <v>0</v>
      </c>
      <c r="BG58" s="171">
        <f t="shared" si="31"/>
        <v>0</v>
      </c>
      <c r="BH58" s="171">
        <f t="shared" si="31"/>
        <v>0</v>
      </c>
      <c r="BI58" s="171">
        <f t="shared" si="31"/>
        <v>0</v>
      </c>
      <c r="BJ58" s="171">
        <f t="shared" si="31"/>
        <v>0</v>
      </c>
    </row>
    <row r="59" spans="1:62">
      <c r="A59" s="176"/>
      <c r="B59" s="177"/>
      <c r="C59" s="177"/>
      <c r="D59" s="177"/>
      <c r="E59" s="177"/>
      <c r="F59" s="177"/>
      <c r="G59" s="177"/>
      <c r="H59" s="177"/>
      <c r="I59" s="177"/>
      <c r="J59" s="177"/>
      <c r="K59" s="177"/>
      <c r="L59" s="177"/>
      <c r="M59" s="177"/>
      <c r="N59" s="177"/>
      <c r="O59" s="177"/>
      <c r="P59" s="177"/>
      <c r="Q59" s="177"/>
      <c r="R59" s="177"/>
      <c r="S59" s="177"/>
      <c r="T59" s="177" t="b">
        <f>ROUND(SUM(T57,T58),10)=100%</f>
        <v>1</v>
      </c>
      <c r="U59" s="177" t="b">
        <f t="shared" ref="U59:BI59" si="34">ROUND(SUM(U57,U58),10)=100%</f>
        <v>1</v>
      </c>
      <c r="V59" s="177" t="b">
        <f t="shared" si="34"/>
        <v>1</v>
      </c>
      <c r="W59" s="177" t="b">
        <f t="shared" si="34"/>
        <v>1</v>
      </c>
      <c r="X59" s="177" t="b">
        <f t="shared" si="34"/>
        <v>1</v>
      </c>
      <c r="Y59" s="177" t="b">
        <f t="shared" si="34"/>
        <v>1</v>
      </c>
      <c r="Z59" s="177" t="b">
        <f t="shared" si="34"/>
        <v>1</v>
      </c>
      <c r="AA59" s="177" t="b">
        <f t="shared" si="34"/>
        <v>1</v>
      </c>
      <c r="AB59" s="177" t="b">
        <f t="shared" si="34"/>
        <v>1</v>
      </c>
      <c r="AC59" s="177" t="b">
        <f t="shared" si="34"/>
        <v>1</v>
      </c>
      <c r="AD59" s="177" t="b">
        <f t="shared" si="34"/>
        <v>1</v>
      </c>
      <c r="AE59" s="177" t="b">
        <f t="shared" si="34"/>
        <v>1</v>
      </c>
      <c r="AF59" s="177" t="b">
        <f t="shared" si="34"/>
        <v>1</v>
      </c>
      <c r="AG59" s="177" t="b">
        <f t="shared" si="34"/>
        <v>1</v>
      </c>
      <c r="AH59" s="177" t="b">
        <f t="shared" si="34"/>
        <v>1</v>
      </c>
      <c r="AI59" s="177" t="b">
        <f t="shared" si="34"/>
        <v>1</v>
      </c>
      <c r="AJ59" s="177" t="b">
        <f t="shared" si="34"/>
        <v>1</v>
      </c>
      <c r="AK59" s="177" t="b">
        <f t="shared" si="34"/>
        <v>1</v>
      </c>
      <c r="AL59" s="177" t="b">
        <f t="shared" si="34"/>
        <v>1</v>
      </c>
      <c r="AM59" s="177" t="b">
        <f t="shared" si="34"/>
        <v>1</v>
      </c>
      <c r="AN59" s="177" t="b">
        <f t="shared" si="34"/>
        <v>1</v>
      </c>
      <c r="AO59" s="177" t="b">
        <f t="shared" si="34"/>
        <v>1</v>
      </c>
      <c r="AP59" s="177" t="b">
        <f t="shared" si="34"/>
        <v>1</v>
      </c>
      <c r="AQ59" s="177" t="b">
        <f t="shared" si="34"/>
        <v>1</v>
      </c>
      <c r="AR59" s="177" t="b">
        <f t="shared" si="34"/>
        <v>1</v>
      </c>
      <c r="AS59" s="177" t="b">
        <f t="shared" si="34"/>
        <v>1</v>
      </c>
      <c r="AT59" s="177" t="b">
        <f t="shared" si="34"/>
        <v>1</v>
      </c>
      <c r="AU59" s="177" t="b">
        <f t="shared" si="34"/>
        <v>1</v>
      </c>
      <c r="AV59" s="177" t="b">
        <f t="shared" si="34"/>
        <v>1</v>
      </c>
      <c r="AW59" s="177" t="b">
        <f t="shared" si="34"/>
        <v>1</v>
      </c>
      <c r="AX59" s="177" t="b">
        <f t="shared" si="34"/>
        <v>1</v>
      </c>
      <c r="AY59" s="177" t="b">
        <f t="shared" si="34"/>
        <v>1</v>
      </c>
      <c r="AZ59" s="177" t="b">
        <f t="shared" si="34"/>
        <v>1</v>
      </c>
      <c r="BA59" s="177" t="b">
        <f t="shared" si="34"/>
        <v>1</v>
      </c>
      <c r="BB59" s="177" t="b">
        <f t="shared" si="34"/>
        <v>1</v>
      </c>
      <c r="BC59" s="177" t="b">
        <f t="shared" si="34"/>
        <v>1</v>
      </c>
      <c r="BD59" s="177" t="b">
        <f t="shared" si="34"/>
        <v>1</v>
      </c>
      <c r="BE59" s="177" t="b">
        <f t="shared" si="34"/>
        <v>1</v>
      </c>
      <c r="BF59" s="177" t="b">
        <f t="shared" si="34"/>
        <v>1</v>
      </c>
      <c r="BG59" s="177" t="b">
        <f t="shared" si="34"/>
        <v>1</v>
      </c>
      <c r="BH59" s="177" t="b">
        <f t="shared" si="34"/>
        <v>1</v>
      </c>
      <c r="BI59" s="177" t="b">
        <f t="shared" si="34"/>
        <v>1</v>
      </c>
      <c r="BJ59" s="177" t="b">
        <f t="shared" ref="BJ59" si="35">ROUND(SUM(BJ57,BJ58),10)=100%</f>
        <v>1</v>
      </c>
    </row>
    <row r="60" spans="1:62">
      <c r="A60" s="645" t="s">
        <v>365</v>
      </c>
      <c r="B60" s="645"/>
      <c r="C60" s="645"/>
      <c r="D60" s="645"/>
      <c r="E60" s="645"/>
      <c r="F60" s="645"/>
      <c r="G60" s="645"/>
      <c r="H60" s="645"/>
      <c r="I60" s="645"/>
      <c r="J60" s="645"/>
      <c r="K60" s="645"/>
      <c r="L60" s="645"/>
      <c r="M60" s="645"/>
      <c r="N60" s="645"/>
      <c r="O60" s="645"/>
      <c r="P60" s="645"/>
      <c r="Q60" s="645"/>
      <c r="R60" s="645"/>
      <c r="S60" s="645"/>
      <c r="T60" s="645"/>
      <c r="U60" s="645"/>
      <c r="V60" s="645"/>
    </row>
    <row r="61" spans="1:62" s="454" customFormat="1">
      <c r="A61" s="645"/>
      <c r="B61" s="645"/>
      <c r="C61" s="645"/>
      <c r="D61" s="645"/>
      <c r="E61" s="645"/>
      <c r="F61" s="645"/>
      <c r="G61" s="645"/>
      <c r="H61" s="645"/>
      <c r="I61" s="645"/>
      <c r="J61" s="645"/>
      <c r="K61" s="645"/>
      <c r="L61" s="645"/>
      <c r="M61" s="645"/>
      <c r="N61" s="645"/>
      <c r="O61" s="645"/>
      <c r="P61" s="645"/>
      <c r="Q61" s="645"/>
      <c r="R61" s="645"/>
      <c r="S61" s="645"/>
      <c r="T61" s="645"/>
      <c r="U61" s="645"/>
      <c r="V61" s="645"/>
    </row>
    <row r="62" spans="1:62">
      <c r="A62" s="645" t="s">
        <v>366</v>
      </c>
      <c r="B62" s="645"/>
      <c r="C62" s="645"/>
      <c r="D62" s="645"/>
      <c r="E62" s="645"/>
      <c r="F62" s="645"/>
      <c r="G62" s="645"/>
      <c r="H62" s="645"/>
      <c r="I62" s="645"/>
      <c r="J62" s="645"/>
      <c r="K62" s="645"/>
      <c r="L62" s="645"/>
      <c r="M62" s="645"/>
      <c r="N62" s="645"/>
      <c r="O62" s="645"/>
      <c r="P62" s="645"/>
      <c r="Q62" s="645"/>
      <c r="R62" s="645"/>
      <c r="S62" s="645"/>
      <c r="T62" s="645"/>
      <c r="U62" s="645"/>
      <c r="V62" s="645"/>
    </row>
    <row r="63" spans="1:62" s="454" customFormat="1">
      <c r="A63" s="645"/>
      <c r="B63" s="645"/>
      <c r="C63" s="645"/>
      <c r="D63" s="645"/>
      <c r="E63" s="645"/>
      <c r="F63" s="645"/>
      <c r="G63" s="645"/>
      <c r="H63" s="645"/>
      <c r="I63" s="645"/>
      <c r="J63" s="645"/>
      <c r="K63" s="645"/>
      <c r="L63" s="645"/>
      <c r="M63" s="645"/>
      <c r="N63" s="645"/>
      <c r="O63" s="645"/>
      <c r="P63" s="645"/>
      <c r="Q63" s="645"/>
      <c r="R63" s="645"/>
      <c r="S63" s="645"/>
      <c r="T63" s="645"/>
      <c r="U63" s="645"/>
      <c r="V63" s="645"/>
    </row>
    <row r="64" spans="1:62"/>
    <row r="65" spans="1:22">
      <c r="A65" s="315" t="s">
        <v>76</v>
      </c>
    </row>
    <row r="66" spans="1:22">
      <c r="A66" s="140" t="s">
        <v>295</v>
      </c>
    </row>
    <row r="67" spans="1:22">
      <c r="A67" s="140" t="s">
        <v>367</v>
      </c>
    </row>
    <row r="68" spans="1:22">
      <c r="A68" s="684" t="s">
        <v>368</v>
      </c>
      <c r="B68" s="684"/>
      <c r="C68" s="684"/>
      <c r="D68" s="684"/>
      <c r="E68" s="684"/>
      <c r="F68" s="684"/>
      <c r="G68" s="684"/>
      <c r="H68" s="684"/>
      <c r="I68" s="684"/>
      <c r="J68" s="684"/>
      <c r="K68" s="684"/>
      <c r="L68" s="684"/>
      <c r="M68" s="684"/>
      <c r="N68" s="684"/>
      <c r="O68" s="684"/>
      <c r="P68" s="684"/>
      <c r="Q68" s="684"/>
      <c r="R68" s="684"/>
      <c r="S68" s="684"/>
      <c r="T68" s="684"/>
      <c r="U68" s="684"/>
      <c r="V68" s="684"/>
    </row>
    <row r="69" spans="1:22" s="454" customFormat="1">
      <c r="A69" s="684"/>
      <c r="B69" s="684"/>
      <c r="C69" s="684"/>
      <c r="D69" s="684"/>
      <c r="E69" s="684"/>
      <c r="F69" s="684"/>
      <c r="G69" s="684"/>
      <c r="H69" s="684"/>
      <c r="I69" s="684"/>
      <c r="J69" s="684"/>
      <c r="K69" s="684"/>
      <c r="L69" s="684"/>
      <c r="M69" s="684"/>
      <c r="N69" s="684"/>
      <c r="O69" s="684"/>
      <c r="P69" s="684"/>
      <c r="Q69" s="684"/>
      <c r="R69" s="684"/>
      <c r="S69" s="684"/>
      <c r="T69" s="684"/>
      <c r="U69" s="684"/>
      <c r="V69" s="684"/>
    </row>
    <row r="70" spans="1:22">
      <c r="A70" s="684" t="s">
        <v>369</v>
      </c>
      <c r="B70" s="684"/>
      <c r="C70" s="684"/>
      <c r="D70" s="684"/>
      <c r="E70" s="684"/>
      <c r="F70" s="684"/>
      <c r="G70" s="684"/>
      <c r="H70" s="684"/>
      <c r="I70" s="684"/>
      <c r="J70" s="684"/>
      <c r="K70" s="684"/>
      <c r="L70" s="684"/>
      <c r="M70" s="684"/>
      <c r="N70" s="684"/>
      <c r="O70" s="684"/>
      <c r="P70" s="684"/>
      <c r="Q70" s="684"/>
      <c r="R70" s="684"/>
      <c r="S70" s="684"/>
      <c r="T70" s="684"/>
      <c r="U70" s="684"/>
      <c r="V70" s="684"/>
    </row>
    <row r="71" spans="1:22" s="454" customFormat="1">
      <c r="A71" s="684"/>
      <c r="B71" s="684"/>
      <c r="C71" s="684"/>
      <c r="D71" s="684"/>
      <c r="E71" s="684"/>
      <c r="F71" s="684"/>
      <c r="G71" s="684"/>
      <c r="H71" s="684"/>
      <c r="I71" s="684"/>
      <c r="J71" s="684"/>
      <c r="K71" s="684"/>
      <c r="L71" s="684"/>
      <c r="M71" s="684"/>
      <c r="N71" s="684"/>
      <c r="O71" s="684"/>
      <c r="P71" s="684"/>
      <c r="Q71" s="684"/>
      <c r="R71" s="684"/>
      <c r="S71" s="684"/>
      <c r="T71" s="684"/>
      <c r="U71" s="684"/>
      <c r="V71" s="684"/>
    </row>
    <row r="72" spans="1:22"/>
    <row r="73" spans="1:22"/>
    <row r="74" spans="1:22"/>
    <row r="75" spans="1:22">
      <c r="A75" s="131" t="s">
        <v>370</v>
      </c>
      <c r="B75" s="131"/>
      <c r="C75" s="131"/>
      <c r="D75" s="131"/>
      <c r="E75" s="131"/>
      <c r="F75" s="131"/>
      <c r="G75" s="131"/>
      <c r="H75" s="131"/>
      <c r="I75" s="131"/>
      <c r="J75" s="131"/>
      <c r="K75" s="131"/>
      <c r="L75" s="131"/>
      <c r="M75" s="131"/>
      <c r="N75" s="131"/>
      <c r="O75" s="131"/>
      <c r="P75" s="131"/>
      <c r="Q75" s="131"/>
      <c r="R75" s="131"/>
      <c r="S75" s="131"/>
      <c r="T75" s="131"/>
      <c r="U75"/>
    </row>
    <row r="76" spans="1:22" hidden="1" outlineLevel="1"/>
    <row r="77" spans="1:22" hidden="1" outlineLevel="1">
      <c r="A77" s="1" t="s">
        <v>151</v>
      </c>
    </row>
    <row r="78" spans="1:22" hidden="1" outlineLevel="1">
      <c r="A78" s="649" t="s">
        <v>371</v>
      </c>
      <c r="B78" s="649"/>
      <c r="C78" s="649"/>
      <c r="D78" s="649"/>
      <c r="E78" s="649"/>
      <c r="F78" s="649"/>
      <c r="G78" s="649"/>
      <c r="H78" s="649"/>
      <c r="I78" s="649"/>
      <c r="J78" s="649"/>
      <c r="K78" s="649"/>
      <c r="L78" s="649"/>
      <c r="M78" s="649"/>
      <c r="N78" s="649"/>
      <c r="O78" s="649"/>
      <c r="P78" s="649"/>
      <c r="Q78" s="649"/>
      <c r="R78" s="649"/>
      <c r="S78" s="649"/>
      <c r="T78" s="649"/>
      <c r="U78" s="649"/>
      <c r="V78" s="649"/>
    </row>
    <row r="79" spans="1:22" s="454" customFormat="1" hidden="1" outlineLevel="1">
      <c r="A79" s="649"/>
      <c r="B79" s="649"/>
      <c r="C79" s="649"/>
      <c r="D79" s="649"/>
      <c r="E79" s="649"/>
      <c r="F79" s="649"/>
      <c r="G79" s="649"/>
      <c r="H79" s="649"/>
      <c r="I79" s="649"/>
      <c r="J79" s="649"/>
      <c r="K79" s="649"/>
      <c r="L79" s="649"/>
      <c r="M79" s="649"/>
      <c r="N79" s="649"/>
      <c r="O79" s="649"/>
      <c r="P79" s="649"/>
      <c r="Q79" s="649"/>
      <c r="R79" s="649"/>
      <c r="S79" s="649"/>
      <c r="T79" s="649"/>
      <c r="U79" s="649"/>
      <c r="V79" s="649"/>
    </row>
    <row r="80" spans="1:22" s="454" customFormat="1" ht="15.75" hidden="1" outlineLevel="1" thickBot="1">
      <c r="A80" s="649"/>
      <c r="B80" s="649"/>
      <c r="C80" s="649"/>
      <c r="D80" s="649"/>
      <c r="E80" s="649"/>
      <c r="F80" s="649"/>
      <c r="G80" s="649"/>
      <c r="H80" s="649"/>
      <c r="I80" s="649"/>
      <c r="J80" s="649"/>
      <c r="K80" s="649"/>
      <c r="L80" s="649"/>
      <c r="M80" s="649"/>
      <c r="N80" s="649"/>
      <c r="O80" s="649"/>
      <c r="P80" s="649"/>
      <c r="Q80" s="649"/>
      <c r="R80" s="649"/>
      <c r="S80" s="649"/>
      <c r="T80" s="649"/>
      <c r="U80" s="649"/>
      <c r="V80" s="649"/>
    </row>
    <row r="81" spans="19:34" s="395" customFormat="1" hidden="1" outlineLevel="1">
      <c r="S81" s="674" t="s">
        <v>210</v>
      </c>
      <c r="T81" s="675"/>
      <c r="U81" s="676"/>
      <c r="W81" s="674" t="s">
        <v>210</v>
      </c>
      <c r="X81" s="675"/>
      <c r="Y81" s="676"/>
      <c r="AA81" s="673" t="s">
        <v>121</v>
      </c>
      <c r="AB81" s="673"/>
      <c r="AC81" s="673"/>
      <c r="AD81" s="673"/>
      <c r="AE81" s="673"/>
      <c r="AF81" s="673"/>
      <c r="AG81" s="673"/>
      <c r="AH81" s="673"/>
    </row>
    <row r="82" spans="19:34" s="395" customFormat="1" ht="15.75" hidden="1" outlineLevel="1" thickBot="1">
      <c r="S82" s="670" t="s">
        <v>7</v>
      </c>
      <c r="T82" s="671"/>
      <c r="U82" s="672"/>
      <c r="W82" s="670" t="s">
        <v>7</v>
      </c>
      <c r="X82" s="671"/>
      <c r="Y82" s="672"/>
      <c r="AA82" s="673"/>
      <c r="AB82" s="673"/>
      <c r="AC82" s="673"/>
      <c r="AD82" s="673"/>
      <c r="AE82" s="673"/>
      <c r="AF82" s="673"/>
      <c r="AG82" s="673"/>
      <c r="AH82" s="673"/>
    </row>
    <row r="83" spans="19:34" s="395" customFormat="1" hidden="1" outlineLevel="1">
      <c r="S83" s="670" t="s">
        <v>8</v>
      </c>
      <c r="T83" s="671"/>
      <c r="U83" s="672"/>
      <c r="W83" s="670" t="s">
        <v>9</v>
      </c>
      <c r="X83" s="671"/>
      <c r="Y83" s="672"/>
      <c r="AA83" s="124" t="s">
        <v>45</v>
      </c>
      <c r="AB83" s="126"/>
      <c r="AC83" s="125"/>
    </row>
    <row r="84" spans="19:34" s="395" customFormat="1" ht="15.75" hidden="1" customHeight="1" outlineLevel="1" thickBot="1">
      <c r="S84" s="25" t="s">
        <v>11</v>
      </c>
      <c r="T84" s="20" t="s">
        <v>10</v>
      </c>
      <c r="U84" s="21" t="s">
        <v>6</v>
      </c>
      <c r="W84" s="25" t="s">
        <v>11</v>
      </c>
      <c r="X84" s="20" t="s">
        <v>10</v>
      </c>
      <c r="Y84" s="21" t="s">
        <v>6</v>
      </c>
      <c r="AA84" s="25" t="s">
        <v>11</v>
      </c>
      <c r="AB84" s="20" t="s">
        <v>10</v>
      </c>
      <c r="AC84" s="21" t="s">
        <v>6</v>
      </c>
      <c r="AD84" s="677" t="s">
        <v>372</v>
      </c>
      <c r="AE84" s="678"/>
      <c r="AF84" s="678"/>
      <c r="AG84" s="678"/>
    </row>
    <row r="85" spans="19:34" s="395" customFormat="1" hidden="1" outlineLevel="1">
      <c r="S85" s="218" t="s">
        <v>14</v>
      </c>
      <c r="T85" s="219">
        <v>0.26400914009688037</v>
      </c>
      <c r="U85" s="220">
        <v>0.61594160249321572</v>
      </c>
      <c r="W85" s="218" t="s">
        <v>14</v>
      </c>
      <c r="X85" s="219">
        <f>T85*$AB85</f>
        <v>0.29371016835777941</v>
      </c>
      <c r="Y85" s="220">
        <f>U85*$AC85</f>
        <v>0.69293430280486767</v>
      </c>
      <c r="AA85" s="22">
        <v>5</v>
      </c>
      <c r="AB85" s="94">
        <f>1+($AB$102*$AB$103)*$AB$104</f>
        <v>1.1125</v>
      </c>
      <c r="AC85" s="95">
        <f>1+($AB$102*$AC$103)*$AB$104</f>
        <v>1.125</v>
      </c>
      <c r="AD85" s="677"/>
      <c r="AE85" s="678"/>
      <c r="AF85" s="678"/>
      <c r="AG85" s="678"/>
    </row>
    <row r="86" spans="19:34" s="395" customFormat="1" hidden="1" outlineLevel="1">
      <c r="S86" s="23" t="s">
        <v>27</v>
      </c>
      <c r="T86" s="96">
        <v>0.16720877498333173</v>
      </c>
      <c r="U86" s="97">
        <v>0.34304510120585624</v>
      </c>
      <c r="W86" s="23" t="s">
        <v>27</v>
      </c>
      <c r="X86" s="96">
        <f t="shared" ref="X86:X98" si="36">T86*$AB86</f>
        <v>0.18601976216895655</v>
      </c>
      <c r="Y86" s="97">
        <f t="shared" ref="Y86:Y98" si="37">U86*$AC86</f>
        <v>0.38592573885658826</v>
      </c>
      <c r="AA86" s="23">
        <v>15</v>
      </c>
      <c r="AB86" s="96">
        <f>1+($AB$102*$AB$103)*$AB$104</f>
        <v>1.1125</v>
      </c>
      <c r="AC86" s="97">
        <f>1+($AB$102*$AC$103)*$AB$104</f>
        <v>1.125</v>
      </c>
      <c r="AD86" s="677"/>
      <c r="AE86" s="678"/>
      <c r="AF86" s="678"/>
      <c r="AG86" s="678"/>
    </row>
    <row r="87" spans="19:34" s="395" customFormat="1" hidden="1" outlineLevel="1">
      <c r="S87" s="23" t="s">
        <v>28</v>
      </c>
      <c r="T87" s="96">
        <v>0.12739908075262904</v>
      </c>
      <c r="U87" s="97">
        <v>0.2609047051180175</v>
      </c>
      <c r="W87" s="23" t="s">
        <v>28</v>
      </c>
      <c r="X87" s="96">
        <f t="shared" si="36"/>
        <v>0.14173147733729982</v>
      </c>
      <c r="Y87" s="97">
        <f t="shared" si="37"/>
        <v>0.29351779325776967</v>
      </c>
      <c r="AA87" s="23">
        <v>25</v>
      </c>
      <c r="AB87" s="96">
        <f>1+($AB$102*$AB$103)*$AB$104</f>
        <v>1.1125</v>
      </c>
      <c r="AC87" s="97">
        <f>1+($AB$102*$AC$103)*$AB$104</f>
        <v>1.125</v>
      </c>
    </row>
    <row r="88" spans="19:34" s="395" customFormat="1" hidden="1" outlineLevel="1">
      <c r="S88" s="23" t="s">
        <v>29</v>
      </c>
      <c r="T88" s="96">
        <v>0.10346657798333291</v>
      </c>
      <c r="U88" s="97">
        <v>0.21920689638791566</v>
      </c>
      <c r="W88" s="23" t="s">
        <v>29</v>
      </c>
      <c r="X88" s="96">
        <f t="shared" si="36"/>
        <v>0.11510656800645787</v>
      </c>
      <c r="Y88" s="97">
        <f t="shared" si="37"/>
        <v>0.24660775843640512</v>
      </c>
      <c r="AA88" s="23">
        <v>35</v>
      </c>
      <c r="AB88" s="96">
        <f>1+($AB$102*$AB$103)*$AB$104</f>
        <v>1.1125</v>
      </c>
      <c r="AC88" s="97">
        <f>1+($AB$102*$AC$103)*$AB$104</f>
        <v>1.125</v>
      </c>
    </row>
    <row r="89" spans="19:34" s="395" customFormat="1" hidden="1" outlineLevel="1">
      <c r="S89" s="23" t="s">
        <v>30</v>
      </c>
      <c r="T89" s="96">
        <v>8.7650488681870142E-2</v>
      </c>
      <c r="U89" s="97">
        <v>0.19631735867348152</v>
      </c>
      <c r="W89" s="23" t="s">
        <v>30</v>
      </c>
      <c r="X89" s="96">
        <f t="shared" si="36"/>
        <v>9.7511168658580533E-2</v>
      </c>
      <c r="Y89" s="97">
        <f t="shared" si="37"/>
        <v>0.2208570285076667</v>
      </c>
      <c r="AA89" s="23">
        <v>45</v>
      </c>
      <c r="AB89" s="96">
        <f>1+($AB$102*$AB$103)*$AB$104</f>
        <v>1.1125</v>
      </c>
      <c r="AC89" s="97">
        <f>1+($AB$102*$AC$103)*$AB$104</f>
        <v>1.125</v>
      </c>
    </row>
    <row r="90" spans="19:34" s="395" customFormat="1" hidden="1" outlineLevel="1">
      <c r="S90" s="23" t="s">
        <v>31</v>
      </c>
      <c r="T90" s="96">
        <v>7.7088849874525425E-2</v>
      </c>
      <c r="U90" s="97">
        <v>0.18414085886746334</v>
      </c>
      <c r="W90" s="23" t="s">
        <v>31</v>
      </c>
      <c r="X90" s="96">
        <f t="shared" si="36"/>
        <v>8.7206761420556889E-2</v>
      </c>
      <c r="Y90" s="97">
        <f t="shared" si="37"/>
        <v>0.21099473411896841</v>
      </c>
      <c r="AA90" s="23">
        <v>55</v>
      </c>
      <c r="AB90" s="96">
        <f>$AB$89+($AB$95-$AB$89)/($AA$95-$AA$89)*((AA90-$AA$89))</f>
        <v>1.1312500000000001</v>
      </c>
      <c r="AC90" s="97">
        <f>$AC$89+($AC$95-$AC$89)/($AA$95-$AA$89)*((AA90-$AA$89))</f>
        <v>1.1458333333333333</v>
      </c>
    </row>
    <row r="91" spans="19:34" s="395" customFormat="1" hidden="1" outlineLevel="1">
      <c r="S91" s="23" t="s">
        <v>32</v>
      </c>
      <c r="T91" s="96">
        <v>7.0394126103341545E-2</v>
      </c>
      <c r="U91" s="97">
        <v>0.17843021537746723</v>
      </c>
      <c r="W91" s="23" t="s">
        <v>32</v>
      </c>
      <c r="X91" s="96">
        <f t="shared" si="36"/>
        <v>8.0953245018842782E-2</v>
      </c>
      <c r="Y91" s="97">
        <f t="shared" si="37"/>
        <v>0.2081685846070451</v>
      </c>
      <c r="AA91" s="23">
        <v>65</v>
      </c>
      <c r="AB91" s="96">
        <f>$AB$89+($AB$95-$AB$89)/($AA$95-$AA$89)*((AA91-$AA$89))</f>
        <v>1.1500000000000001</v>
      </c>
      <c r="AC91" s="97">
        <f>$AC$89+($AC$95-$AC$89)/($AA$95-$AA$89)*((AA91-$AA$89))</f>
        <v>1.1666666666666667</v>
      </c>
    </row>
    <row r="92" spans="19:34" s="395" customFormat="1" hidden="1" outlineLevel="1">
      <c r="S92" s="23" t="s">
        <v>33</v>
      </c>
      <c r="T92" s="96">
        <v>6.6778955230642451E-2</v>
      </c>
      <c r="U92" s="97">
        <v>0.17687373640190496</v>
      </c>
      <c r="W92" s="23" t="s">
        <v>33</v>
      </c>
      <c r="X92" s="96">
        <f t="shared" si="36"/>
        <v>7.8047903925813372E-2</v>
      </c>
      <c r="Y92" s="97">
        <f t="shared" si="37"/>
        <v>0.21003756197726214</v>
      </c>
      <c r="AA92" s="23">
        <v>75</v>
      </c>
      <c r="AB92" s="96">
        <f>$AB$89+($AB$95-$AB$89)/($AA$95-$AA$89)*((AA92-$AA$89))</f>
        <v>1.1687500000000002</v>
      </c>
      <c r="AC92" s="97">
        <f>$AC$89+($AC$95-$AC$89)/($AA$95-$AA$89)*((AA92-$AA$89))</f>
        <v>1.1875</v>
      </c>
    </row>
    <row r="93" spans="19:34" s="395" customFormat="1" hidden="1" outlineLevel="1">
      <c r="S93" s="99" t="s">
        <v>34</v>
      </c>
      <c r="T93" s="100">
        <v>6.5747674086994862E-2</v>
      </c>
      <c r="U93" s="98">
        <v>0.1786110300548317</v>
      </c>
      <c r="W93" s="99" t="s">
        <v>34</v>
      </c>
      <c r="X93" s="100">
        <f t="shared" si="36"/>
        <v>7.8075362978306403E-2</v>
      </c>
      <c r="Y93" s="98">
        <f t="shared" si="37"/>
        <v>0.21582166131625496</v>
      </c>
      <c r="AA93" s="99">
        <v>85</v>
      </c>
      <c r="AB93" s="96">
        <f>$AB$89+($AB$95-$AB$89)/($AA$95-$AA$89)*((AA93-$AA$89))</f>
        <v>1.1875</v>
      </c>
      <c r="AC93" s="97">
        <f>$AC$89+($AC$95-$AC$89)/($AA$95-$AA$89)*((AA93-$AA$89))</f>
        <v>1.2083333333333333</v>
      </c>
    </row>
    <row r="94" spans="19:34" s="395" customFormat="1" hidden="1" outlineLevel="1">
      <c r="S94" s="99" t="s">
        <v>35</v>
      </c>
      <c r="T94" s="100">
        <v>6.696429019663587E-2</v>
      </c>
      <c r="U94" s="98">
        <v>0.1852363782790602</v>
      </c>
      <c r="W94" s="99" t="s">
        <v>35</v>
      </c>
      <c r="X94" s="100">
        <f t="shared" si="36"/>
        <v>8.077567504969202E-2</v>
      </c>
      <c r="Y94" s="98">
        <f t="shared" si="37"/>
        <v>0.22768638163467816</v>
      </c>
      <c r="AA94" s="99">
        <v>95</v>
      </c>
      <c r="AB94" s="96">
        <f>$AB$89+($AB$95-$AB$89)/($AA$95-$AA$89)*((AA94-$AA$89))</f>
        <v>1.20625</v>
      </c>
      <c r="AC94" s="97">
        <f>$AC$89+($AC$95-$AC$89)/($AA$95-$AA$89)*((AA94-$AA$89))</f>
        <v>1.2291666666666667</v>
      </c>
    </row>
    <row r="95" spans="19:34" s="395" customFormat="1" hidden="1" outlineLevel="1">
      <c r="S95" s="99" t="s">
        <v>36</v>
      </c>
      <c r="T95" s="100">
        <v>7.0188056580033409E-2</v>
      </c>
      <c r="U95" s="98">
        <v>0.21322220085792618</v>
      </c>
      <c r="W95" s="99" t="s">
        <v>36</v>
      </c>
      <c r="X95" s="100">
        <f t="shared" si="36"/>
        <v>8.5980369310540927E-2</v>
      </c>
      <c r="Y95" s="98">
        <f t="shared" si="37"/>
        <v>0.26652775107240773</v>
      </c>
      <c r="AA95" s="99">
        <v>105</v>
      </c>
      <c r="AB95" s="100">
        <f>1+($AB$102*$AB$103)</f>
        <v>1.2250000000000001</v>
      </c>
      <c r="AC95" s="98">
        <f>1+($AB$102*$AC$103)</f>
        <v>1.25</v>
      </c>
    </row>
    <row r="96" spans="19:34" s="395" customFormat="1" hidden="1" outlineLevel="1">
      <c r="S96" s="99" t="s">
        <v>37</v>
      </c>
      <c r="T96" s="100">
        <v>7.5238875190980228E-2</v>
      </c>
      <c r="U96" s="98">
        <v>0.24120802343679215</v>
      </c>
      <c r="W96" s="99" t="s">
        <v>37</v>
      </c>
      <c r="X96" s="100">
        <f t="shared" si="36"/>
        <v>9.2167622108950784E-2</v>
      </c>
      <c r="Y96" s="98">
        <f t="shared" si="37"/>
        <v>0.30151002929599019</v>
      </c>
      <c r="AA96" s="99">
        <v>115</v>
      </c>
      <c r="AB96" s="100">
        <f>1+($AB$102*$AB$103)</f>
        <v>1.2250000000000001</v>
      </c>
      <c r="AC96" s="98">
        <f>1+($AB$102*$AC$103)</f>
        <v>1.25</v>
      </c>
    </row>
    <row r="97" spans="1:30" s="395" customFormat="1" hidden="1" outlineLevel="1">
      <c r="S97" s="23" t="s">
        <v>38</v>
      </c>
      <c r="T97" s="96">
        <v>8.1977303869154236E-2</v>
      </c>
      <c r="U97" s="98">
        <v>0.2691938460156581</v>
      </c>
      <c r="W97" s="23" t="s">
        <v>38</v>
      </c>
      <c r="X97" s="96">
        <f t="shared" si="36"/>
        <v>0.10042219723971395</v>
      </c>
      <c r="Y97" s="98">
        <f t="shared" si="37"/>
        <v>0.3364923075195726</v>
      </c>
      <c r="AA97" s="23">
        <v>125</v>
      </c>
      <c r="AB97" s="100">
        <f>1+($AB$102*$AB$103)</f>
        <v>1.2250000000000001</v>
      </c>
      <c r="AC97" s="98">
        <f>1+($AB$102*$AC$103)</f>
        <v>1.25</v>
      </c>
    </row>
    <row r="98" spans="1:30" s="395" customFormat="1" ht="15.75" hidden="1" outlineLevel="1" thickBot="1">
      <c r="S98" s="24" t="s">
        <v>15</v>
      </c>
      <c r="T98" s="221">
        <v>9.0292310210704496E-2</v>
      </c>
      <c r="U98" s="123">
        <v>0.29717966859452405</v>
      </c>
      <c r="W98" s="24" t="s">
        <v>15</v>
      </c>
      <c r="X98" s="221">
        <f t="shared" si="36"/>
        <v>0.11060808000811302</v>
      </c>
      <c r="Y98" s="123">
        <f t="shared" si="37"/>
        <v>0.37147458574315506</v>
      </c>
      <c r="AA98" s="24">
        <v>135</v>
      </c>
      <c r="AB98" s="127">
        <f>1+($AB$102*$AB$103)</f>
        <v>1.2250000000000001</v>
      </c>
      <c r="AC98" s="123">
        <f>1+($AB$102*$AC$103)</f>
        <v>1.25</v>
      </c>
    </row>
    <row r="99" spans="1:30" s="395" customFormat="1" hidden="1" outlineLevel="1">
      <c r="S99" s="35" t="s">
        <v>409</v>
      </c>
      <c r="AA99" s="191" t="s">
        <v>387</v>
      </c>
      <c r="AB99" s="214"/>
      <c r="AC99" s="214"/>
    </row>
    <row r="100" spans="1:30" s="395" customFormat="1" hidden="1" outlineLevel="1">
      <c r="S100" s="35" t="s">
        <v>410</v>
      </c>
      <c r="AA100" s="191"/>
    </row>
    <row r="101" spans="1:30" s="395" customFormat="1" hidden="1" outlineLevel="1">
      <c r="S101" s="35" t="s">
        <v>411</v>
      </c>
      <c r="AA101" s="191"/>
    </row>
    <row r="102" spans="1:30" s="395" customFormat="1" hidden="1" outlineLevel="1">
      <c r="AB102" s="102">
        <v>5</v>
      </c>
      <c r="AC102" s="181"/>
      <c r="AD102" s="14" t="s">
        <v>373</v>
      </c>
    </row>
    <row r="103" spans="1:30" s="395" customFormat="1" hidden="1" outlineLevel="1">
      <c r="AB103" s="128">
        <v>4.4999999999999998E-2</v>
      </c>
      <c r="AC103" s="128">
        <v>0.05</v>
      </c>
      <c r="AD103" s="14" t="s">
        <v>374</v>
      </c>
    </row>
    <row r="104" spans="1:30" s="395" customFormat="1" hidden="1" outlineLevel="1">
      <c r="AB104" s="128">
        <v>0.5</v>
      </c>
      <c r="AC104" s="181"/>
      <c r="AD104" s="14" t="s">
        <v>375</v>
      </c>
    </row>
    <row r="105" spans="1:30" s="395" customFormat="1" hidden="1" outlineLevel="1">
      <c r="A105" s="645" t="s">
        <v>377</v>
      </c>
      <c r="B105" s="645"/>
      <c r="C105" s="645"/>
      <c r="D105" s="645"/>
      <c r="E105" s="645"/>
      <c r="F105" s="645"/>
      <c r="G105" s="645"/>
      <c r="H105" s="645"/>
      <c r="I105" s="645"/>
      <c r="J105" s="645"/>
      <c r="K105" s="645"/>
      <c r="L105" s="645"/>
      <c r="M105" s="645"/>
      <c r="N105" s="645"/>
      <c r="O105" s="645"/>
      <c r="P105" s="645"/>
      <c r="Q105" s="645"/>
      <c r="R105" s="645"/>
      <c r="S105" s="645"/>
      <c r="T105" s="645"/>
      <c r="U105" s="645"/>
      <c r="V105" s="645"/>
      <c r="AD105" s="191" t="s">
        <v>376</v>
      </c>
    </row>
    <row r="106" spans="1:30" s="454" customFormat="1" hidden="1" outlineLevel="1">
      <c r="A106" s="645"/>
      <c r="B106" s="645"/>
      <c r="C106" s="645"/>
      <c r="D106" s="645"/>
      <c r="E106" s="645"/>
      <c r="F106" s="645"/>
      <c r="G106" s="645"/>
      <c r="H106" s="645"/>
      <c r="I106" s="645"/>
      <c r="J106" s="645"/>
      <c r="K106" s="645"/>
      <c r="L106" s="645"/>
      <c r="M106" s="645"/>
      <c r="N106" s="645"/>
      <c r="O106" s="645"/>
      <c r="P106" s="645"/>
      <c r="Q106" s="645"/>
      <c r="R106" s="645"/>
      <c r="S106" s="645"/>
      <c r="T106" s="645"/>
      <c r="U106" s="645"/>
      <c r="V106" s="645"/>
      <c r="AD106" s="191"/>
    </row>
    <row r="107" spans="1:30" s="395" customFormat="1" hidden="1" outlineLevel="1">
      <c r="A107" s="645" t="s">
        <v>378</v>
      </c>
      <c r="B107" s="645"/>
      <c r="C107" s="645"/>
      <c r="D107" s="645"/>
      <c r="E107" s="645"/>
      <c r="F107" s="645"/>
      <c r="G107" s="645"/>
      <c r="H107" s="645"/>
      <c r="I107" s="645"/>
      <c r="J107" s="645"/>
      <c r="K107" s="645"/>
      <c r="L107" s="645"/>
      <c r="M107" s="645"/>
      <c r="N107" s="645"/>
      <c r="O107" s="645"/>
      <c r="P107" s="645"/>
      <c r="Q107" s="645"/>
      <c r="R107" s="645"/>
      <c r="S107" s="645"/>
      <c r="T107" s="645"/>
      <c r="U107" s="645"/>
      <c r="V107" s="645"/>
    </row>
    <row r="108" spans="1:30" s="454" customFormat="1" hidden="1" outlineLevel="1">
      <c r="A108" s="645"/>
      <c r="B108" s="645"/>
      <c r="C108" s="645"/>
      <c r="D108" s="645"/>
      <c r="E108" s="645"/>
      <c r="F108" s="645"/>
      <c r="G108" s="645"/>
      <c r="H108" s="645"/>
      <c r="I108" s="645"/>
      <c r="J108" s="645"/>
      <c r="K108" s="645"/>
      <c r="L108" s="645"/>
      <c r="M108" s="645"/>
      <c r="N108" s="645"/>
      <c r="O108" s="645"/>
      <c r="P108" s="645"/>
      <c r="Q108" s="645"/>
      <c r="R108" s="645"/>
      <c r="S108" s="645"/>
      <c r="T108" s="645"/>
      <c r="U108" s="645"/>
      <c r="V108" s="645"/>
    </row>
    <row r="109" spans="1:30" s="412" customFormat="1" ht="15.75" hidden="1" outlineLevel="1" thickBot="1">
      <c r="A109" s="657" t="s">
        <v>372</v>
      </c>
      <c r="B109" s="657"/>
      <c r="C109" s="657"/>
      <c r="D109" s="657"/>
      <c r="E109" s="657"/>
      <c r="F109" s="657"/>
      <c r="G109" s="657"/>
      <c r="H109" s="657"/>
      <c r="I109" s="657"/>
      <c r="J109" s="657"/>
      <c r="K109" s="657"/>
      <c r="L109" s="657"/>
      <c r="M109" s="657"/>
      <c r="N109" s="657"/>
      <c r="O109" s="657"/>
      <c r="P109" s="657"/>
      <c r="Q109" s="657"/>
      <c r="R109" s="657"/>
      <c r="S109" s="657"/>
      <c r="T109" s="657"/>
      <c r="U109" s="657"/>
      <c r="V109" s="657"/>
    </row>
    <row r="110" spans="1:30" s="395" customFormat="1" hidden="1" outlineLevel="1">
      <c r="S110" s="124" t="s">
        <v>44</v>
      </c>
      <c r="T110" s="126"/>
      <c r="U110" s="125"/>
    </row>
    <row r="111" spans="1:30" s="395" customFormat="1" ht="15.75" hidden="1" outlineLevel="1" thickBot="1">
      <c r="S111" s="32" t="s">
        <v>43</v>
      </c>
      <c r="T111" s="33" t="s">
        <v>10</v>
      </c>
      <c r="U111" s="34" t="s">
        <v>6</v>
      </c>
    </row>
    <row r="112" spans="1:30" s="395" customFormat="1" hidden="1" outlineLevel="1">
      <c r="S112" s="26" t="s">
        <v>13</v>
      </c>
      <c r="T112" s="30">
        <v>1</v>
      </c>
      <c r="U112" s="31">
        <v>1</v>
      </c>
    </row>
    <row r="113" spans="1:28" s="395" customFormat="1" ht="15.75" hidden="1" outlineLevel="1" thickBot="1">
      <c r="S113" s="27" t="s">
        <v>12</v>
      </c>
      <c r="T113" s="28">
        <v>1.0316643084185093</v>
      </c>
      <c r="U113" s="29">
        <v>1.1996070463245994</v>
      </c>
    </row>
    <row r="114" spans="1:28" s="395" customFormat="1" hidden="1" outlineLevel="1">
      <c r="S114" s="35" t="s">
        <v>89</v>
      </c>
      <c r="T114" s="178"/>
      <c r="U114" s="178"/>
    </row>
    <row r="115" spans="1:28" s="395" customFormat="1" hidden="1" outlineLevel="1">
      <c r="S115" s="648" t="s">
        <v>379</v>
      </c>
      <c r="T115" s="648"/>
      <c r="U115" s="648"/>
      <c r="V115" s="648"/>
      <c r="W115" s="648"/>
      <c r="X115" s="648"/>
      <c r="Y115" s="648"/>
      <c r="Z115" s="648"/>
      <c r="AA115" s="648"/>
      <c r="AB115" s="648"/>
    </row>
    <row r="116" spans="1:28" s="454" customFormat="1" hidden="1" outlineLevel="1">
      <c r="S116" s="648"/>
      <c r="T116" s="648"/>
      <c r="U116" s="648"/>
      <c r="V116" s="648"/>
      <c r="W116" s="648"/>
      <c r="X116" s="648"/>
      <c r="Y116" s="648"/>
      <c r="Z116" s="648"/>
      <c r="AA116" s="648"/>
      <c r="AB116" s="648"/>
    </row>
    <row r="117" spans="1:28" s="454" customFormat="1" hidden="1" outlineLevel="1">
      <c r="S117" s="648"/>
      <c r="T117" s="648"/>
      <c r="U117" s="648"/>
      <c r="V117" s="648"/>
      <c r="W117" s="648"/>
      <c r="X117" s="648"/>
      <c r="Y117" s="648"/>
      <c r="Z117" s="648"/>
      <c r="AA117" s="648"/>
      <c r="AB117" s="648"/>
    </row>
    <row r="118" spans="1:28" s="395" customFormat="1" hidden="1" outlineLevel="1">
      <c r="A118" s="1" t="s">
        <v>211</v>
      </c>
    </row>
    <row r="119" spans="1:28" s="395" customFormat="1" hidden="1" outlineLevel="1">
      <c r="A119" s="395" t="s">
        <v>380</v>
      </c>
    </row>
    <row r="120" spans="1:28" s="395" customFormat="1" hidden="1" outlineLevel="1">
      <c r="A120" s="9" t="s">
        <v>70</v>
      </c>
      <c r="B120" s="9"/>
      <c r="C120" s="9"/>
      <c r="D120" s="9"/>
      <c r="E120" s="9"/>
      <c r="F120" s="9"/>
      <c r="G120" s="9"/>
      <c r="H120" s="9"/>
      <c r="I120" s="9"/>
      <c r="J120" s="9"/>
      <c r="K120" s="9"/>
      <c r="L120" s="9"/>
      <c r="M120" s="9"/>
      <c r="N120" s="9"/>
      <c r="O120" s="9"/>
      <c r="P120" s="396">
        <v>2019</v>
      </c>
      <c r="Q120" s="397">
        <v>43466</v>
      </c>
      <c r="R120" s="398">
        <v>43497</v>
      </c>
      <c r="S120" s="398">
        <v>43525</v>
      </c>
      <c r="T120" s="398">
        <v>43556</v>
      </c>
      <c r="U120" s="398">
        <v>43586</v>
      </c>
      <c r="V120" s="398">
        <v>43617</v>
      </c>
      <c r="W120" s="398">
        <v>43647</v>
      </c>
      <c r="X120" s="398">
        <v>43678</v>
      </c>
      <c r="Y120" s="398">
        <v>43709</v>
      </c>
      <c r="Z120" s="398">
        <v>43739</v>
      </c>
      <c r="AA120" s="398">
        <v>43770</v>
      </c>
      <c r="AB120" s="398">
        <v>43800</v>
      </c>
    </row>
    <row r="121" spans="1:28" s="395" customFormat="1" hidden="1" outlineLevel="1">
      <c r="A121" s="399" t="s">
        <v>382</v>
      </c>
      <c r="B121" s="184" t="s">
        <v>212</v>
      </c>
      <c r="C121" s="90"/>
      <c r="D121" s="90"/>
      <c r="E121" s="90"/>
      <c r="F121" s="90"/>
      <c r="G121" s="90"/>
      <c r="H121" s="90"/>
      <c r="I121" s="90"/>
      <c r="J121" s="90"/>
      <c r="K121" s="90"/>
      <c r="L121" s="90"/>
      <c r="M121" s="90"/>
      <c r="N121" s="90"/>
      <c r="O121" s="90"/>
      <c r="P121" s="118">
        <f>AVERAGE(Q121:AB121)</f>
        <v>4.9800000000000004</v>
      </c>
      <c r="Q121" s="400">
        <v>4.7300000000000004</v>
      </c>
      <c r="R121" s="401">
        <v>4.71</v>
      </c>
      <c r="S121" s="401">
        <v>4.79</v>
      </c>
      <c r="T121" s="401">
        <v>5.1100000000000003</v>
      </c>
      <c r="U121" s="401">
        <v>5.23</v>
      </c>
      <c r="V121" s="401">
        <v>5.21</v>
      </c>
      <c r="W121" s="401">
        <v>5.13</v>
      </c>
      <c r="X121" s="401">
        <v>5.08</v>
      </c>
      <c r="Y121" s="401">
        <v>4.99</v>
      </c>
      <c r="Z121" s="401">
        <v>4.92</v>
      </c>
      <c r="AA121" s="401">
        <v>4.91</v>
      </c>
      <c r="AB121" s="401">
        <v>4.95</v>
      </c>
    </row>
    <row r="122" spans="1:28" s="395" customFormat="1" hidden="1" outlineLevel="1">
      <c r="A122" s="399" t="s">
        <v>213</v>
      </c>
      <c r="B122" s="184" t="s">
        <v>212</v>
      </c>
      <c r="C122" s="90"/>
      <c r="D122" s="90"/>
      <c r="E122" s="90"/>
      <c r="F122" s="90"/>
      <c r="G122" s="90"/>
      <c r="H122" s="90"/>
      <c r="I122" s="90"/>
      <c r="J122" s="90"/>
      <c r="K122" s="90"/>
      <c r="L122" s="90"/>
      <c r="M122" s="90"/>
      <c r="N122" s="90"/>
      <c r="O122" s="90"/>
      <c r="P122" s="118">
        <f>AVERAGE(Q122:AB122)</f>
        <v>5.0600000000000014</v>
      </c>
      <c r="Q122" s="400">
        <v>5.04</v>
      </c>
      <c r="R122" s="401">
        <v>4.99</v>
      </c>
      <c r="S122" s="401">
        <v>5.08</v>
      </c>
      <c r="T122" s="401">
        <v>5.15</v>
      </c>
      <c r="U122" s="401">
        <v>5.2</v>
      </c>
      <c r="V122" s="401">
        <v>5.14</v>
      </c>
      <c r="W122" s="401">
        <v>5.07</v>
      </c>
      <c r="X122" s="401">
        <v>5.03</v>
      </c>
      <c r="Y122" s="401">
        <v>4.99</v>
      </c>
      <c r="Z122" s="401">
        <v>4.96</v>
      </c>
      <c r="AA122" s="401">
        <v>4.9800000000000004</v>
      </c>
      <c r="AB122" s="401">
        <v>5.09</v>
      </c>
    </row>
    <row r="123" spans="1:28" s="395" customFormat="1" hidden="1" outlineLevel="1">
      <c r="A123" s="35" t="s">
        <v>214</v>
      </c>
    </row>
    <row r="124" spans="1:28" s="395" customFormat="1" hidden="1" outlineLevel="1"/>
    <row r="125" spans="1:28" s="395" customFormat="1" hidden="1" outlineLevel="1">
      <c r="A125" s="395" t="s">
        <v>381</v>
      </c>
    </row>
    <row r="126" spans="1:28" s="395" customFormat="1" hidden="1" outlineLevel="1">
      <c r="A126" s="9" t="s">
        <v>70</v>
      </c>
      <c r="B126" s="185"/>
      <c r="C126" s="185"/>
      <c r="D126" s="185"/>
      <c r="E126" s="185"/>
      <c r="F126" s="185"/>
      <c r="G126" s="185"/>
      <c r="H126" s="185"/>
      <c r="I126" s="185"/>
      <c r="J126" s="185"/>
      <c r="K126" s="185"/>
      <c r="L126" s="185"/>
      <c r="M126" s="185"/>
      <c r="N126" s="185"/>
      <c r="O126" s="185"/>
      <c r="P126" s="185">
        <v>2019</v>
      </c>
    </row>
    <row r="127" spans="1:28" s="395" customFormat="1" hidden="1" outlineLevel="1">
      <c r="A127" s="399" t="str">
        <f>A121</f>
        <v>Benzyna Pb 95</v>
      </c>
      <c r="B127" s="402"/>
      <c r="C127" s="402"/>
      <c r="D127" s="402"/>
      <c r="E127" s="402"/>
      <c r="F127" s="402"/>
      <c r="G127" s="402"/>
      <c r="H127" s="402"/>
      <c r="I127" s="402"/>
      <c r="J127" s="402"/>
      <c r="K127" s="402"/>
      <c r="L127" s="402"/>
      <c r="M127" s="402"/>
      <c r="N127" s="402"/>
      <c r="O127" s="402"/>
      <c r="P127" s="403">
        <f>100%-43.2%</f>
        <v>0.56799999999999995</v>
      </c>
    </row>
    <row r="128" spans="1:28" s="395" customFormat="1" hidden="1" outlineLevel="1">
      <c r="A128" s="399" t="str">
        <f>A122</f>
        <v>Olej napędowy ON</v>
      </c>
      <c r="B128" s="402"/>
      <c r="C128" s="402"/>
      <c r="D128" s="402"/>
      <c r="E128" s="402"/>
      <c r="F128" s="402"/>
      <c r="G128" s="402"/>
      <c r="H128" s="402"/>
      <c r="I128" s="402"/>
      <c r="J128" s="402"/>
      <c r="K128" s="402"/>
      <c r="L128" s="402"/>
      <c r="M128" s="402"/>
      <c r="N128" s="402"/>
      <c r="O128" s="402"/>
      <c r="P128" s="403">
        <f>100%-48.9%</f>
        <v>0.51100000000000001</v>
      </c>
    </row>
    <row r="129" spans="1:22" s="395" customFormat="1" hidden="1" outlineLevel="1">
      <c r="A129" s="35" t="s">
        <v>383</v>
      </c>
    </row>
    <row r="130" spans="1:22" s="395" customFormat="1" ht="18" hidden="1" customHeight="1" outlineLevel="1">
      <c r="A130" s="648" t="s">
        <v>384</v>
      </c>
      <c r="B130" s="648"/>
      <c r="C130" s="648"/>
      <c r="D130" s="648"/>
      <c r="E130" s="648"/>
      <c r="F130" s="648"/>
      <c r="G130" s="648"/>
      <c r="H130" s="648"/>
      <c r="I130" s="648"/>
      <c r="J130" s="648"/>
      <c r="K130" s="648"/>
      <c r="L130" s="648"/>
      <c r="M130" s="648"/>
      <c r="N130" s="648"/>
      <c r="O130" s="648"/>
      <c r="P130" s="648"/>
      <c r="Q130" s="648"/>
      <c r="R130" s="648"/>
      <c r="S130" s="648"/>
      <c r="T130" s="648"/>
      <c r="U130" s="648"/>
      <c r="V130" s="648"/>
    </row>
    <row r="131" spans="1:22" s="454" customFormat="1" hidden="1" outlineLevel="1">
      <c r="A131" s="648"/>
      <c r="B131" s="648"/>
      <c r="C131" s="648"/>
      <c r="D131" s="648"/>
      <c r="E131" s="648"/>
      <c r="F131" s="648"/>
      <c r="G131" s="648"/>
      <c r="H131" s="648"/>
      <c r="I131" s="648"/>
      <c r="J131" s="648"/>
      <c r="K131" s="648"/>
      <c r="L131" s="648"/>
      <c r="M131" s="648"/>
      <c r="N131" s="648"/>
      <c r="O131" s="648"/>
      <c r="P131" s="648"/>
      <c r="Q131" s="648"/>
      <c r="R131" s="648"/>
      <c r="S131" s="648"/>
      <c r="T131" s="648"/>
      <c r="U131" s="648"/>
      <c r="V131" s="648"/>
    </row>
    <row r="132" spans="1:22" s="395" customFormat="1" hidden="1" outlineLevel="1">
      <c r="A132" s="35" t="s">
        <v>215</v>
      </c>
    </row>
    <row r="133" spans="1:22" s="395" customFormat="1" hidden="1" outlineLevel="1"/>
    <row r="134" spans="1:22" s="395" customFormat="1" hidden="1" outlineLevel="1">
      <c r="A134" s="645" t="s">
        <v>364</v>
      </c>
      <c r="B134" s="645"/>
      <c r="C134" s="645"/>
      <c r="D134" s="645"/>
      <c r="E134" s="645"/>
      <c r="F134" s="645"/>
      <c r="G134" s="645"/>
      <c r="H134" s="645"/>
      <c r="I134" s="645"/>
      <c r="J134" s="645"/>
      <c r="K134" s="645"/>
      <c r="L134" s="645"/>
      <c r="M134" s="645"/>
      <c r="N134" s="645"/>
      <c r="O134" s="645"/>
      <c r="P134" s="645"/>
      <c r="Q134" s="645"/>
      <c r="R134" s="645"/>
      <c r="S134" s="645"/>
      <c r="T134" s="645"/>
      <c r="U134" s="645"/>
      <c r="V134" s="645"/>
    </row>
    <row r="135" spans="1:22" s="454" customFormat="1" hidden="1" outlineLevel="1">
      <c r="A135" s="645"/>
      <c r="B135" s="645"/>
      <c r="C135" s="645"/>
      <c r="D135" s="645"/>
      <c r="E135" s="645"/>
      <c r="F135" s="645"/>
      <c r="G135" s="645"/>
      <c r="H135" s="645"/>
      <c r="I135" s="645"/>
      <c r="J135" s="645"/>
      <c r="K135" s="645"/>
      <c r="L135" s="645"/>
      <c r="M135" s="645"/>
      <c r="N135" s="645"/>
      <c r="O135" s="645"/>
      <c r="P135" s="645"/>
      <c r="Q135" s="645"/>
      <c r="R135" s="645"/>
      <c r="S135" s="645"/>
      <c r="T135" s="645"/>
      <c r="U135" s="645"/>
      <c r="V135" s="645"/>
    </row>
    <row r="136" spans="1:22" s="395" customFormat="1" hidden="1" outlineLevel="1">
      <c r="A136" s="186" t="s">
        <v>99</v>
      </c>
      <c r="B136" s="9"/>
      <c r="C136" s="9"/>
      <c r="D136" s="9"/>
      <c r="E136" s="9"/>
      <c r="F136" s="9"/>
      <c r="G136" s="9"/>
      <c r="H136" s="9"/>
      <c r="I136" s="9"/>
      <c r="J136" s="9"/>
      <c r="K136" s="9"/>
      <c r="L136" s="9"/>
      <c r="M136" s="9"/>
      <c r="N136" s="9"/>
      <c r="O136" s="9"/>
      <c r="P136" s="185">
        <v>2019</v>
      </c>
      <c r="Q136" s="185">
        <v>2030</v>
      </c>
      <c r="R136" s="185">
        <v>2050</v>
      </c>
    </row>
    <row r="137" spans="1:22" s="395" customFormat="1" hidden="1" outlineLevel="1">
      <c r="A137" s="404" t="s">
        <v>74</v>
      </c>
      <c r="B137" s="213"/>
      <c r="C137" s="213"/>
      <c r="D137" s="213"/>
      <c r="E137" s="213"/>
      <c r="F137" s="213"/>
      <c r="G137" s="213"/>
      <c r="H137" s="213"/>
      <c r="I137" s="213"/>
      <c r="J137" s="213"/>
      <c r="K137" s="213"/>
      <c r="L137" s="213"/>
      <c r="M137" s="213"/>
      <c r="N137" s="213"/>
      <c r="O137" s="213"/>
      <c r="P137" s="212">
        <f>S35/SUM(S35:S36)</f>
        <v>0.67903598504544949</v>
      </c>
      <c r="Q137" s="212">
        <f>T35/SUM(T35:T36)</f>
        <v>0.70281995661605201</v>
      </c>
      <c r="R137" s="212">
        <f>U35/SUM(U35:U36)</f>
        <v>0.74140508221225709</v>
      </c>
    </row>
    <row r="138" spans="1:22" s="395" customFormat="1" hidden="1" outlineLevel="1">
      <c r="A138" s="404" t="s">
        <v>71</v>
      </c>
      <c r="B138" s="213"/>
      <c r="C138" s="213"/>
      <c r="D138" s="213"/>
      <c r="E138" s="213"/>
      <c r="F138" s="213"/>
      <c r="G138" s="213"/>
      <c r="H138" s="213"/>
      <c r="I138" s="213"/>
      <c r="J138" s="213"/>
      <c r="K138" s="213"/>
      <c r="L138" s="213"/>
      <c r="M138" s="213"/>
      <c r="N138" s="213"/>
      <c r="O138" s="213"/>
      <c r="P138" s="212">
        <f>S36/SUM(S35:S36)</f>
        <v>0.32096401495455057</v>
      </c>
      <c r="Q138" s="212">
        <f>T36/SUM(T35:T36)</f>
        <v>0.29718004338394799</v>
      </c>
      <c r="R138" s="212">
        <f>U36/SUM(U35:U36)</f>
        <v>0.25859491778774285</v>
      </c>
    </row>
    <row r="139" spans="1:22" s="395" customFormat="1" hidden="1" outlineLevel="1">
      <c r="A139" s="186" t="s">
        <v>100</v>
      </c>
      <c r="B139" s="9"/>
      <c r="C139" s="9"/>
      <c r="D139" s="9"/>
      <c r="E139" s="9"/>
      <c r="F139" s="9"/>
      <c r="G139" s="9"/>
      <c r="H139" s="9"/>
      <c r="I139" s="9"/>
      <c r="J139" s="9"/>
      <c r="K139" s="9"/>
      <c r="L139" s="9"/>
      <c r="M139" s="9"/>
      <c r="N139" s="9"/>
      <c r="O139" s="9"/>
      <c r="P139" s="185">
        <v>2019</v>
      </c>
      <c r="Q139" s="185">
        <v>2030</v>
      </c>
      <c r="R139" s="185">
        <v>2050</v>
      </c>
    </row>
    <row r="140" spans="1:22" s="395" customFormat="1" hidden="1" outlineLevel="1">
      <c r="A140" s="404" t="s">
        <v>74</v>
      </c>
      <c r="B140" s="213"/>
      <c r="C140" s="213"/>
      <c r="D140" s="213"/>
      <c r="E140" s="213"/>
      <c r="F140" s="213"/>
      <c r="G140" s="213"/>
      <c r="H140" s="213"/>
      <c r="I140" s="213"/>
      <c r="J140" s="213"/>
      <c r="K140" s="213"/>
      <c r="L140" s="213"/>
      <c r="M140" s="213"/>
      <c r="N140" s="213"/>
      <c r="O140" s="213"/>
      <c r="P140" s="212">
        <f>Y35/SUM(Y35:Y36)</f>
        <v>0</v>
      </c>
      <c r="Q140" s="212">
        <f>Z35/SUM(Z35:Z36)</f>
        <v>0</v>
      </c>
      <c r="R140" s="212">
        <f>AA35/SUM(AA35:AA36)</f>
        <v>0</v>
      </c>
    </row>
    <row r="141" spans="1:22" s="395" customFormat="1" hidden="1" outlineLevel="1">
      <c r="A141" s="404" t="s">
        <v>71</v>
      </c>
      <c r="B141" s="213"/>
      <c r="C141" s="213"/>
      <c r="D141" s="213"/>
      <c r="E141" s="213"/>
      <c r="F141" s="213"/>
      <c r="G141" s="213"/>
      <c r="H141" s="213"/>
      <c r="I141" s="213"/>
      <c r="J141" s="213"/>
      <c r="K141" s="213"/>
      <c r="L141" s="213"/>
      <c r="M141" s="213"/>
      <c r="N141" s="213"/>
      <c r="O141" s="213"/>
      <c r="P141" s="212">
        <f>Y36/SUM(Y35:Y36)</f>
        <v>1</v>
      </c>
      <c r="Q141" s="212">
        <f>Z36/SUM(Z35:Z36)</f>
        <v>1</v>
      </c>
      <c r="R141" s="212">
        <f>AA36/SUM(AA35:AA36)</f>
        <v>1</v>
      </c>
    </row>
    <row r="142" spans="1:22" s="395" customFormat="1" hidden="1" outlineLevel="1"/>
    <row r="143" spans="1:22" s="395" customFormat="1" hidden="1" outlineLevel="1">
      <c r="A143" s="395" t="s">
        <v>385</v>
      </c>
    </row>
    <row r="144" spans="1:22" s="395" customFormat="1" hidden="1" outlineLevel="1">
      <c r="A144" s="9" t="s">
        <v>70</v>
      </c>
      <c r="B144" s="9"/>
      <c r="C144" s="9"/>
      <c r="D144" s="9"/>
      <c r="E144" s="9"/>
      <c r="F144" s="9"/>
      <c r="G144" s="9"/>
      <c r="H144" s="9"/>
      <c r="I144" s="9"/>
      <c r="J144" s="9"/>
      <c r="K144" s="9"/>
      <c r="L144" s="9"/>
      <c r="M144" s="9"/>
      <c r="N144" s="9"/>
      <c r="O144" s="9"/>
      <c r="P144" s="9"/>
      <c r="Q144" s="9"/>
      <c r="R144" s="9"/>
      <c r="S144" s="9"/>
      <c r="T144" s="185">
        <v>2019</v>
      </c>
    </row>
    <row r="145" spans="1:22" s="395" customFormat="1" hidden="1" outlineLevel="1">
      <c r="A145" s="399" t="str">
        <f>A121</f>
        <v>Benzyna Pb 95</v>
      </c>
      <c r="B145" s="184" t="s">
        <v>212</v>
      </c>
      <c r="C145" s="90"/>
      <c r="D145" s="90"/>
      <c r="E145" s="90"/>
      <c r="F145" s="90"/>
      <c r="G145" s="90"/>
      <c r="H145" s="90"/>
      <c r="I145" s="90"/>
      <c r="J145" s="90"/>
      <c r="K145" s="90"/>
      <c r="L145" s="90"/>
      <c r="M145" s="90"/>
      <c r="N145" s="90"/>
      <c r="O145" s="90"/>
      <c r="P145" s="90"/>
      <c r="Q145" s="90"/>
      <c r="R145" s="90"/>
      <c r="S145" s="90"/>
      <c r="T145" s="118">
        <f>P121*(100%-P127)</f>
        <v>2.1513600000000004</v>
      </c>
    </row>
    <row r="146" spans="1:22" s="395" customFormat="1" hidden="1" outlineLevel="1">
      <c r="A146" s="399" t="str">
        <f>A122</f>
        <v>Olej napędowy ON</v>
      </c>
      <c r="B146" s="184" t="s">
        <v>212</v>
      </c>
      <c r="C146" s="90"/>
      <c r="D146" s="90"/>
      <c r="E146" s="90"/>
      <c r="F146" s="90"/>
      <c r="G146" s="90"/>
      <c r="H146" s="90"/>
      <c r="I146" s="90"/>
      <c r="J146" s="90"/>
      <c r="K146" s="90"/>
      <c r="L146" s="90"/>
      <c r="M146" s="90"/>
      <c r="N146" s="90"/>
      <c r="O146" s="90"/>
      <c r="P146" s="90"/>
      <c r="Q146" s="90"/>
      <c r="R146" s="90"/>
      <c r="S146" s="90"/>
      <c r="T146" s="118">
        <f>P122*(100%-P128)</f>
        <v>2.4743400000000007</v>
      </c>
    </row>
    <row r="147" spans="1:22" s="395" customFormat="1" hidden="1" outlineLevel="1"/>
    <row r="148" spans="1:22" s="395" customFormat="1" hidden="1" outlineLevel="1">
      <c r="A148" s="395" t="s">
        <v>216</v>
      </c>
    </row>
    <row r="149" spans="1:22" s="395" customFormat="1" hidden="1" outlineLevel="1">
      <c r="A149" s="645"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49" s="645"/>
      <c r="C149" s="645"/>
      <c r="D149" s="645"/>
      <c r="E149" s="645"/>
      <c r="F149" s="645"/>
      <c r="G149" s="645"/>
      <c r="H149" s="645"/>
      <c r="I149" s="645"/>
      <c r="J149" s="645"/>
      <c r="K149" s="645"/>
      <c r="L149" s="645"/>
      <c r="M149" s="645"/>
      <c r="N149" s="645"/>
      <c r="O149" s="645"/>
      <c r="P149" s="645"/>
      <c r="Q149" s="645"/>
      <c r="R149" s="645"/>
      <c r="S149" s="645"/>
      <c r="T149" s="645"/>
      <c r="U149" s="645"/>
      <c r="V149" s="645"/>
    </row>
    <row r="150" spans="1:22" s="454" customFormat="1" hidden="1" outlineLevel="1">
      <c r="A150" s="645"/>
      <c r="B150" s="645"/>
      <c r="C150" s="645"/>
      <c r="D150" s="645"/>
      <c r="E150" s="645"/>
      <c r="F150" s="645"/>
      <c r="G150" s="645"/>
      <c r="H150" s="645"/>
      <c r="I150" s="645"/>
      <c r="J150" s="645"/>
      <c r="K150" s="645"/>
      <c r="L150" s="645"/>
      <c r="M150" s="645"/>
      <c r="N150" s="645"/>
      <c r="O150" s="645"/>
      <c r="P150" s="645"/>
      <c r="Q150" s="645"/>
      <c r="R150" s="645"/>
      <c r="S150" s="645"/>
      <c r="T150" s="645"/>
      <c r="U150" s="645"/>
      <c r="V150" s="645"/>
    </row>
    <row r="151" spans="1:22" s="454" customFormat="1" hidden="1" outlineLevel="1">
      <c r="A151" s="645"/>
      <c r="B151" s="645"/>
      <c r="C151" s="645"/>
      <c r="D151" s="645"/>
      <c r="E151" s="645"/>
      <c r="F151" s="645"/>
      <c r="G151" s="645"/>
      <c r="H151" s="645"/>
      <c r="I151" s="645"/>
      <c r="J151" s="645"/>
      <c r="K151" s="645"/>
      <c r="L151" s="645"/>
      <c r="M151" s="645"/>
      <c r="N151" s="645"/>
      <c r="O151" s="645"/>
      <c r="P151" s="645"/>
      <c r="Q151" s="645"/>
      <c r="R151" s="645"/>
      <c r="S151" s="645"/>
      <c r="T151" s="645"/>
      <c r="U151" s="645"/>
      <c r="V151" s="645"/>
    </row>
    <row r="152" spans="1:22" s="395" customFormat="1" hidden="1" outlineLevel="1">
      <c r="A152" s="9"/>
      <c r="B152" s="9"/>
      <c r="C152" s="9"/>
      <c r="D152" s="9"/>
      <c r="E152" s="9"/>
      <c r="F152" s="9"/>
      <c r="G152" s="9"/>
      <c r="H152" s="9"/>
      <c r="I152" s="9"/>
      <c r="J152" s="9"/>
      <c r="K152" s="9"/>
      <c r="L152" s="9"/>
      <c r="M152" s="9"/>
      <c r="N152" s="9"/>
      <c r="O152" s="9"/>
      <c r="P152" s="2" t="s">
        <v>0</v>
      </c>
      <c r="Q152" s="185"/>
      <c r="R152" s="185"/>
      <c r="S152" s="185"/>
      <c r="T152" s="6">
        <v>2019</v>
      </c>
    </row>
    <row r="153" spans="1:22" s="395" customFormat="1" ht="30" hidden="1" outlineLevel="1">
      <c r="A153" s="8" t="s">
        <v>217</v>
      </c>
      <c r="B153" s="184" t="s">
        <v>212</v>
      </c>
      <c r="C153" s="90"/>
      <c r="D153" s="90"/>
      <c r="E153" s="90"/>
      <c r="F153" s="90"/>
      <c r="G153" s="90"/>
      <c r="H153" s="90"/>
      <c r="I153" s="90"/>
      <c r="J153" s="90"/>
      <c r="K153" s="90"/>
      <c r="L153" s="90"/>
      <c r="M153" s="90"/>
      <c r="N153" s="90"/>
      <c r="O153" s="90"/>
      <c r="P153" s="12"/>
      <c r="Q153" s="12"/>
      <c r="R153" s="12"/>
      <c r="S153" s="12"/>
      <c r="T153" s="118">
        <f>T$145*$P$137+T$146*$P$138</f>
        <v>2.2550249575500212</v>
      </c>
    </row>
    <row r="154" spans="1:22" s="395" customFormat="1" ht="30" hidden="1" outlineLevel="1">
      <c r="A154" s="8" t="s">
        <v>218</v>
      </c>
      <c r="B154" s="184" t="s">
        <v>212</v>
      </c>
      <c r="C154" s="90"/>
      <c r="D154" s="90"/>
      <c r="E154" s="90"/>
      <c r="F154" s="90"/>
      <c r="G154" s="90"/>
      <c r="H154" s="90"/>
      <c r="I154" s="90"/>
      <c r="J154" s="90"/>
      <c r="K154" s="90"/>
      <c r="L154" s="90"/>
      <c r="M154" s="90"/>
      <c r="N154" s="90"/>
      <c r="O154" s="90"/>
      <c r="P154" s="12"/>
      <c r="Q154" s="12"/>
      <c r="R154" s="12"/>
      <c r="S154" s="12"/>
      <c r="T154" s="118">
        <f>T$145*$P$140+T$146*$P$141</f>
        <v>2.4743400000000007</v>
      </c>
    </row>
    <row r="155" spans="1:22" s="395" customFormat="1" hidden="1" outlineLevel="1"/>
    <row r="156" spans="1:22" s="395" customFormat="1" hidden="1" outlineLevel="1">
      <c r="A156" s="1" t="s">
        <v>219</v>
      </c>
    </row>
    <row r="157" spans="1:22" s="395" customFormat="1" hidden="1" outlineLevel="1">
      <c r="A157" s="395" t="s">
        <v>386</v>
      </c>
    </row>
    <row r="158" spans="1:22" s="395" customFormat="1" hidden="1" outlineLevel="1">
      <c r="A158" s="9"/>
      <c r="B158" s="9"/>
      <c r="C158" s="9"/>
      <c r="D158" s="9"/>
      <c r="E158" s="9"/>
      <c r="F158" s="9"/>
      <c r="G158" s="9"/>
      <c r="H158" s="9"/>
      <c r="I158" s="9"/>
      <c r="J158" s="9"/>
      <c r="K158" s="9"/>
      <c r="L158" s="9"/>
      <c r="M158" s="9"/>
      <c r="N158" s="9"/>
      <c r="O158" s="9"/>
      <c r="P158" s="185"/>
      <c r="Q158" s="185"/>
      <c r="R158" s="185"/>
      <c r="S158" s="185"/>
      <c r="T158" s="185">
        <v>2019</v>
      </c>
    </row>
    <row r="159" spans="1:22" s="395" customFormat="1" ht="30" hidden="1" outlineLevel="1">
      <c r="A159" s="8" t="s">
        <v>99</v>
      </c>
      <c r="B159" s="188" t="s">
        <v>98</v>
      </c>
      <c r="C159" s="12"/>
      <c r="D159" s="12"/>
      <c r="E159" s="12"/>
      <c r="F159" s="12"/>
      <c r="G159" s="12"/>
      <c r="H159" s="12"/>
      <c r="I159" s="12"/>
      <c r="J159" s="12"/>
      <c r="K159" s="12"/>
      <c r="L159" s="12"/>
      <c r="M159" s="12"/>
      <c r="N159" s="12"/>
      <c r="O159" s="12"/>
      <c r="P159" s="12"/>
      <c r="Q159" s="12"/>
      <c r="R159" s="12"/>
      <c r="S159" s="12"/>
      <c r="T159" s="11">
        <v>0.81100964558971222</v>
      </c>
    </row>
    <row r="160" spans="1:22" s="395" customFormat="1" ht="30" hidden="1" outlineLevel="1">
      <c r="A160" s="8" t="s">
        <v>100</v>
      </c>
      <c r="B160" s="188" t="s">
        <v>98</v>
      </c>
      <c r="C160" s="12"/>
      <c r="D160" s="12"/>
      <c r="E160" s="12"/>
      <c r="F160" s="12"/>
      <c r="G160" s="12"/>
      <c r="H160" s="12"/>
      <c r="I160" s="12"/>
      <c r="J160" s="12"/>
      <c r="K160" s="12"/>
      <c r="L160" s="12"/>
      <c r="M160" s="12"/>
      <c r="N160" s="12"/>
      <c r="O160" s="12"/>
      <c r="P160" s="12"/>
      <c r="Q160" s="12"/>
      <c r="R160" s="12"/>
      <c r="S160" s="12"/>
      <c r="T160" s="11">
        <v>1.4541305064433745</v>
      </c>
    </row>
    <row r="161" spans="1:34" s="395" customFormat="1" hidden="1" outlineLevel="1">
      <c r="A161" s="35" t="s">
        <v>89</v>
      </c>
    </row>
    <row r="162" spans="1:34" s="395" customFormat="1" hidden="1" outlineLevel="1"/>
    <row r="163" spans="1:34" s="395" customFormat="1" collapsed="1"/>
    <row r="164" spans="1:34" s="395" customFormat="1">
      <c r="A164" s="1" t="s">
        <v>319</v>
      </c>
    </row>
    <row r="165" spans="1:34" s="395" customFormat="1">
      <c r="A165" s="645"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65" s="645"/>
      <c r="C165" s="645"/>
      <c r="D165" s="645"/>
      <c r="E165" s="645"/>
      <c r="F165" s="645"/>
      <c r="G165" s="645"/>
      <c r="H165" s="645"/>
      <c r="I165" s="645"/>
      <c r="J165" s="645"/>
      <c r="K165" s="645"/>
      <c r="L165" s="645"/>
      <c r="M165" s="645"/>
      <c r="N165" s="645"/>
      <c r="O165" s="645"/>
      <c r="P165" s="645"/>
      <c r="Q165" s="645"/>
      <c r="R165" s="645"/>
      <c r="S165" s="645"/>
      <c r="T165" s="645"/>
      <c r="U165" s="645"/>
      <c r="V165" s="645"/>
    </row>
    <row r="166" spans="1:34" s="454" customFormat="1">
      <c r="A166" s="645"/>
      <c r="B166" s="645"/>
      <c r="C166" s="645"/>
      <c r="D166" s="645"/>
      <c r="E166" s="645"/>
      <c r="F166" s="645"/>
      <c r="G166" s="645"/>
      <c r="H166" s="645"/>
      <c r="I166" s="645"/>
      <c r="J166" s="645"/>
      <c r="K166" s="645"/>
      <c r="L166" s="645"/>
      <c r="M166" s="645"/>
      <c r="N166" s="645"/>
      <c r="O166" s="645"/>
      <c r="P166" s="645"/>
      <c r="Q166" s="645"/>
      <c r="R166" s="645"/>
      <c r="S166" s="645"/>
      <c r="T166" s="645"/>
      <c r="U166" s="645"/>
      <c r="V166" s="645"/>
    </row>
    <row r="167" spans="1:34" s="454" customFormat="1" ht="15.75" thickBot="1">
      <c r="A167" s="645"/>
      <c r="B167" s="645"/>
      <c r="C167" s="645"/>
      <c r="D167" s="645"/>
      <c r="E167" s="645"/>
      <c r="F167" s="645"/>
      <c r="G167" s="645"/>
      <c r="H167" s="645"/>
      <c r="I167" s="645"/>
      <c r="J167" s="645"/>
      <c r="K167" s="645"/>
      <c r="L167" s="645"/>
      <c r="M167" s="645"/>
      <c r="N167" s="645"/>
      <c r="O167" s="645"/>
      <c r="P167" s="645"/>
      <c r="Q167" s="645"/>
      <c r="R167" s="645"/>
      <c r="S167" s="645"/>
      <c r="T167" s="645"/>
      <c r="U167" s="645"/>
      <c r="V167" s="645"/>
    </row>
    <row r="168" spans="1:34" s="454" customFormat="1" ht="15" customHeight="1">
      <c r="A168" s="499"/>
      <c r="B168" s="499"/>
      <c r="C168" s="499"/>
      <c r="D168" s="499"/>
      <c r="E168" s="499"/>
      <c r="F168" s="499"/>
      <c r="G168" s="499"/>
      <c r="H168" s="499"/>
      <c r="I168" s="499"/>
      <c r="J168" s="499"/>
      <c r="K168" s="499"/>
      <c r="L168" s="499"/>
      <c r="M168" s="499"/>
      <c r="N168" s="499"/>
      <c r="O168" s="499"/>
      <c r="P168" s="499"/>
      <c r="Q168" s="499"/>
      <c r="R168" s="499"/>
      <c r="S168" s="658" t="s">
        <v>313</v>
      </c>
      <c r="T168" s="659"/>
      <c r="U168" s="660"/>
      <c r="V168" s="499"/>
      <c r="W168" s="658" t="s">
        <v>313</v>
      </c>
      <c r="X168" s="659"/>
      <c r="Y168" s="660"/>
    </row>
    <row r="169" spans="1:34" s="216" customFormat="1">
      <c r="A169"/>
      <c r="B169"/>
      <c r="C169"/>
      <c r="D169"/>
      <c r="E169"/>
      <c r="F169"/>
      <c r="G169"/>
      <c r="H169"/>
      <c r="I169"/>
      <c r="J169"/>
      <c r="K169"/>
      <c r="L169"/>
      <c r="M169"/>
      <c r="N169"/>
      <c r="O169"/>
      <c r="P169"/>
      <c r="Q169"/>
      <c r="R169"/>
      <c r="S169" s="661"/>
      <c r="T169" s="662"/>
      <c r="U169" s="663"/>
      <c r="W169" s="661"/>
      <c r="X169" s="662"/>
      <c r="Y169" s="663"/>
      <c r="AA169" s="673" t="str">
        <f>$AA$81</f>
        <v xml:space="preserve">Według opracowania źródłowego, poniższe mnożniki dotyczą wszystkich kategorii kosztów użytkowników dróg, oprócz kosztów czasu. </v>
      </c>
      <c r="AB169" s="673"/>
      <c r="AC169" s="673"/>
      <c r="AD169" s="673"/>
      <c r="AE169" s="673"/>
      <c r="AF169" s="673"/>
      <c r="AG169" s="673"/>
      <c r="AH169" s="673"/>
    </row>
    <row r="170" spans="1:34" s="216" customFormat="1" ht="15.75" thickBot="1">
      <c r="A170"/>
      <c r="B170"/>
      <c r="C170"/>
      <c r="D170"/>
      <c r="E170"/>
      <c r="F170"/>
      <c r="G170"/>
      <c r="H170"/>
      <c r="I170"/>
      <c r="J170"/>
      <c r="K170"/>
      <c r="L170"/>
      <c r="M170"/>
      <c r="N170"/>
      <c r="O170"/>
      <c r="P170"/>
      <c r="Q170"/>
      <c r="R170"/>
      <c r="S170" s="670" t="s">
        <v>7</v>
      </c>
      <c r="T170" s="671"/>
      <c r="U170" s="672"/>
      <c r="W170" s="670" t="s">
        <v>7</v>
      </c>
      <c r="X170" s="671"/>
      <c r="Y170" s="672"/>
      <c r="AA170" s="673"/>
      <c r="AB170" s="673"/>
      <c r="AC170" s="673"/>
      <c r="AD170" s="673"/>
      <c r="AE170" s="673"/>
      <c r="AF170" s="673"/>
      <c r="AG170" s="673"/>
      <c r="AH170" s="673"/>
    </row>
    <row r="171" spans="1:34" s="216" customFormat="1" ht="15" customHeight="1">
      <c r="A171"/>
      <c r="B171"/>
      <c r="C171"/>
      <c r="D171"/>
      <c r="E171"/>
      <c r="F171"/>
      <c r="G171"/>
      <c r="H171"/>
      <c r="I171"/>
      <c r="J171"/>
      <c r="K171"/>
      <c r="L171"/>
      <c r="M171"/>
      <c r="N171"/>
      <c r="O171"/>
      <c r="P171"/>
      <c r="Q171"/>
      <c r="R171"/>
      <c r="S171" s="670" t="s">
        <v>8</v>
      </c>
      <c r="T171" s="671"/>
      <c r="U171" s="672"/>
      <c r="W171" s="670" t="s">
        <v>9</v>
      </c>
      <c r="X171" s="671"/>
      <c r="Y171" s="672"/>
      <c r="AA171" s="124" t="s">
        <v>45</v>
      </c>
      <c r="AB171" s="126"/>
      <c r="AC171" s="125"/>
      <c r="AD171" s="181"/>
    </row>
    <row r="172" spans="1:34" s="216" customFormat="1" ht="15.75" customHeight="1" thickBot="1">
      <c r="A172"/>
      <c r="B172"/>
      <c r="C172"/>
      <c r="D172"/>
      <c r="E172"/>
      <c r="F172"/>
      <c r="G172"/>
      <c r="H172"/>
      <c r="I172"/>
      <c r="J172"/>
      <c r="K172"/>
      <c r="L172"/>
      <c r="M172"/>
      <c r="N172"/>
      <c r="O172"/>
      <c r="P172"/>
      <c r="Q172"/>
      <c r="R172"/>
      <c r="S172" s="25" t="s">
        <v>11</v>
      </c>
      <c r="T172" s="20" t="s">
        <v>10</v>
      </c>
      <c r="U172" s="21" t="s">
        <v>6</v>
      </c>
      <c r="W172" s="25" t="s">
        <v>11</v>
      </c>
      <c r="X172" s="20" t="s">
        <v>10</v>
      </c>
      <c r="Y172" s="21" t="s">
        <v>6</v>
      </c>
      <c r="AA172" s="25" t="s">
        <v>11</v>
      </c>
      <c r="AB172" s="20" t="s">
        <v>10</v>
      </c>
      <c r="AC172" s="21" t="s">
        <v>6</v>
      </c>
      <c r="AD172" s="677" t="str">
        <f>$AD$84</f>
        <v xml:space="preserve">Mnożniki te należy stosować do łącznych VOC (nie tylko do kosztów zużycia paliwa lub energii elektrycznej). </v>
      </c>
      <c r="AE172" s="678"/>
      <c r="AF172" s="678"/>
      <c r="AG172" s="678"/>
      <c r="AH172" s="413"/>
    </row>
    <row r="173" spans="1:34" s="216" customFormat="1">
      <c r="A173"/>
      <c r="B173"/>
      <c r="C173"/>
      <c r="D173"/>
      <c r="E173"/>
      <c r="F173"/>
      <c r="G173"/>
      <c r="H173"/>
      <c r="I173"/>
      <c r="J173"/>
      <c r="K173"/>
      <c r="L173"/>
      <c r="M173"/>
      <c r="N173"/>
      <c r="O173"/>
      <c r="P173"/>
      <c r="Q173"/>
      <c r="R173"/>
      <c r="S173" s="218" t="s">
        <v>14</v>
      </c>
      <c r="T173" s="219">
        <f t="shared" ref="T173:T186" si="38">($T$159+$T85*$T$153)</f>
        <v>1.4063568455294975</v>
      </c>
      <c r="U173" s="220">
        <f t="shared" ref="U173:U186" si="39">($T$160+$U85*$T$154)</f>
        <v>2.9781794511564383</v>
      </c>
      <c r="W173" s="218" t="s">
        <v>14</v>
      </c>
      <c r="X173" s="219">
        <f>T173*$AB173</f>
        <v>1.564571990651566</v>
      </c>
      <c r="Y173" s="220">
        <f>U173*$AC173</f>
        <v>3.3504518825509932</v>
      </c>
      <c r="AA173" s="22">
        <f t="shared" ref="AA173:AC186" si="40">AA85</f>
        <v>5</v>
      </c>
      <c r="AB173" s="94">
        <f t="shared" si="40"/>
        <v>1.1125</v>
      </c>
      <c r="AC173" s="95">
        <f t="shared" si="40"/>
        <v>1.125</v>
      </c>
      <c r="AD173" s="677"/>
      <c r="AE173" s="678"/>
      <c r="AF173" s="678"/>
      <c r="AG173" s="678"/>
      <c r="AH173" s="413"/>
    </row>
    <row r="174" spans="1:34" s="216" customFormat="1">
      <c r="A174"/>
      <c r="B174"/>
      <c r="C174"/>
      <c r="D174"/>
      <c r="E174"/>
      <c r="F174"/>
      <c r="G174"/>
      <c r="H174"/>
      <c r="I174"/>
      <c r="J174"/>
      <c r="K174"/>
      <c r="L174"/>
      <c r="M174"/>
      <c r="N174"/>
      <c r="O174"/>
      <c r="P174"/>
      <c r="Q174"/>
      <c r="R174"/>
      <c r="S174" s="23" t="s">
        <v>27</v>
      </c>
      <c r="T174" s="96">
        <f t="shared" si="38"/>
        <v>1.188069606298491</v>
      </c>
      <c r="U174" s="97">
        <f t="shared" si="39"/>
        <v>2.3029407221610732</v>
      </c>
      <c r="W174" s="23" t="s">
        <v>27</v>
      </c>
      <c r="X174" s="96">
        <f t="shared" ref="X174:X186" si="41">T174*$AB174</f>
        <v>1.3217274370070713</v>
      </c>
      <c r="Y174" s="97">
        <f t="shared" ref="Y174:Y186" si="42">U174*$AC174</f>
        <v>2.5908083124312071</v>
      </c>
      <c r="AA174" s="23">
        <f t="shared" si="40"/>
        <v>15</v>
      </c>
      <c r="AB174" s="96">
        <f t="shared" si="40"/>
        <v>1.1125</v>
      </c>
      <c r="AC174" s="97">
        <f t="shared" si="40"/>
        <v>1.125</v>
      </c>
      <c r="AD174" s="677"/>
      <c r="AE174" s="678"/>
      <c r="AF174" s="678"/>
      <c r="AG174" s="678"/>
      <c r="AH174" s="413"/>
    </row>
    <row r="175" spans="1:34" s="216" customFormat="1">
      <c r="A175"/>
      <c r="B175"/>
      <c r="C175"/>
      <c r="D175"/>
      <c r="E175"/>
      <c r="F175"/>
      <c r="G175"/>
      <c r="H175"/>
      <c r="I175"/>
      <c r="J175"/>
      <c r="K175"/>
      <c r="L175"/>
      <c r="M175"/>
      <c r="N175"/>
      <c r="O175"/>
      <c r="P175"/>
      <c r="Q175"/>
      <c r="R175"/>
      <c r="S175" s="23" t="s">
        <v>28</v>
      </c>
      <c r="T175" s="96">
        <f t="shared" si="38"/>
        <v>1.0982977522558213</v>
      </c>
      <c r="U175" s="97">
        <f t="shared" si="39"/>
        <v>2.0996974545050899</v>
      </c>
      <c r="W175" s="23" t="s">
        <v>28</v>
      </c>
      <c r="X175" s="96">
        <f t="shared" si="41"/>
        <v>1.2218562493846012</v>
      </c>
      <c r="Y175" s="97">
        <f t="shared" si="42"/>
        <v>2.3621596363182262</v>
      </c>
      <c r="AA175" s="23">
        <f t="shared" si="40"/>
        <v>25</v>
      </c>
      <c r="AB175" s="96">
        <f t="shared" si="40"/>
        <v>1.1125</v>
      </c>
      <c r="AC175" s="97">
        <f t="shared" si="40"/>
        <v>1.125</v>
      </c>
      <c r="AD175" s="181"/>
    </row>
    <row r="176" spans="1:34" s="216" customFormat="1">
      <c r="A176"/>
      <c r="B176"/>
      <c r="C176"/>
      <c r="D176"/>
      <c r="E176"/>
      <c r="F176"/>
      <c r="G176"/>
      <c r="H176"/>
      <c r="I176"/>
      <c r="J176"/>
      <c r="K176"/>
      <c r="L176"/>
      <c r="M176"/>
      <c r="N176"/>
      <c r="O176"/>
      <c r="P176"/>
      <c r="Q176"/>
      <c r="R176"/>
      <c r="S176" s="23" t="s">
        <v>29</v>
      </c>
      <c r="T176" s="96">
        <f t="shared" si="38"/>
        <v>1.0443293612144235</v>
      </c>
      <c r="U176" s="97">
        <f t="shared" si="39"/>
        <v>1.9965228984518499</v>
      </c>
      <c r="W176" s="23" t="s">
        <v>29</v>
      </c>
      <c r="X176" s="96">
        <f t="shared" si="41"/>
        <v>1.1618164143510463</v>
      </c>
      <c r="Y176" s="97">
        <f t="shared" si="42"/>
        <v>2.2460882607583312</v>
      </c>
      <c r="AA176" s="23">
        <f t="shared" si="40"/>
        <v>35</v>
      </c>
      <c r="AB176" s="96">
        <f t="shared" si="40"/>
        <v>1.1125</v>
      </c>
      <c r="AC176" s="97">
        <f t="shared" si="40"/>
        <v>1.125</v>
      </c>
      <c r="AD176" s="181"/>
    </row>
    <row r="177" spans="1:30" s="216" customFormat="1">
      <c r="A177"/>
      <c r="B177"/>
      <c r="C177"/>
      <c r="D177"/>
      <c r="E177"/>
      <c r="F177"/>
      <c r="G177"/>
      <c r="H177"/>
      <c r="I177"/>
      <c r="J177"/>
      <c r="K177"/>
      <c r="L177"/>
      <c r="M177"/>
      <c r="N177"/>
      <c r="O177"/>
      <c r="P177"/>
      <c r="Q177"/>
      <c r="R177"/>
      <c r="S177" s="23" t="s">
        <v>30</v>
      </c>
      <c r="T177" s="96">
        <f t="shared" si="38"/>
        <v>1.0086636851087851</v>
      </c>
      <c r="U177" s="97">
        <f t="shared" si="39"/>
        <v>1.939886399703517</v>
      </c>
      <c r="W177" s="23" t="s">
        <v>30</v>
      </c>
      <c r="X177" s="96">
        <f t="shared" si="41"/>
        <v>1.1221383496835236</v>
      </c>
      <c r="Y177" s="97">
        <f t="shared" si="42"/>
        <v>2.1823721996664567</v>
      </c>
      <c r="AA177" s="23">
        <f t="shared" si="40"/>
        <v>45</v>
      </c>
      <c r="AB177" s="96">
        <f t="shared" si="40"/>
        <v>1.1125</v>
      </c>
      <c r="AC177" s="97">
        <f t="shared" si="40"/>
        <v>1.125</v>
      </c>
      <c r="AD177" s="181"/>
    </row>
    <row r="178" spans="1:30" s="216" customFormat="1">
      <c r="A178"/>
      <c r="B178"/>
      <c r="C178"/>
      <c r="D178"/>
      <c r="E178"/>
      <c r="F178"/>
      <c r="G178"/>
      <c r="H178"/>
      <c r="I178"/>
      <c r="J178"/>
      <c r="K178"/>
      <c r="L178"/>
      <c r="M178"/>
      <c r="N178"/>
      <c r="O178"/>
      <c r="P178"/>
      <c r="Q178"/>
      <c r="R178"/>
      <c r="S178" s="23" t="s">
        <v>31</v>
      </c>
      <c r="T178" s="96">
        <f t="shared" si="38"/>
        <v>0.98484692600559387</v>
      </c>
      <c r="U178" s="97">
        <f t="shared" si="39"/>
        <v>1.9097575991734939</v>
      </c>
      <c r="W178" s="23" t="s">
        <v>31</v>
      </c>
      <c r="X178" s="96">
        <f t="shared" si="41"/>
        <v>1.1141080850438281</v>
      </c>
      <c r="Y178" s="97">
        <f t="shared" si="42"/>
        <v>2.1882639157196282</v>
      </c>
      <c r="AA178" s="23">
        <f t="shared" si="40"/>
        <v>55</v>
      </c>
      <c r="AB178" s="96">
        <f t="shared" si="40"/>
        <v>1.1312500000000001</v>
      </c>
      <c r="AC178" s="97">
        <f t="shared" si="40"/>
        <v>1.1458333333333333</v>
      </c>
      <c r="AD178" s="181"/>
    </row>
    <row r="179" spans="1:30" s="216" customFormat="1">
      <c r="A179"/>
      <c r="B179"/>
      <c r="C179"/>
      <c r="D179"/>
      <c r="E179"/>
      <c r="F179"/>
      <c r="G179"/>
      <c r="H179"/>
      <c r="I179"/>
      <c r="J179"/>
      <c r="K179"/>
      <c r="L179"/>
      <c r="M179"/>
      <c r="N179"/>
      <c r="O179"/>
      <c r="P179"/>
      <c r="Q179"/>
      <c r="R179"/>
      <c r="S179" s="23" t="s">
        <v>32</v>
      </c>
      <c r="T179" s="96">
        <f t="shared" si="38"/>
        <v>0.96975015681767085</v>
      </c>
      <c r="U179" s="97">
        <f t="shared" si="39"/>
        <v>1.8956275255604569</v>
      </c>
      <c r="W179" s="23" t="s">
        <v>32</v>
      </c>
      <c r="X179" s="96">
        <f t="shared" si="41"/>
        <v>1.1152126803403215</v>
      </c>
      <c r="Y179" s="97">
        <f t="shared" si="42"/>
        <v>2.2115654464871999</v>
      </c>
      <c r="AA179" s="23">
        <f t="shared" si="40"/>
        <v>65</v>
      </c>
      <c r="AB179" s="96">
        <f t="shared" si="40"/>
        <v>1.1500000000000001</v>
      </c>
      <c r="AC179" s="97">
        <f t="shared" si="40"/>
        <v>1.1666666666666667</v>
      </c>
      <c r="AD179" s="181"/>
    </row>
    <row r="180" spans="1:30" s="216" customFormat="1">
      <c r="A180"/>
      <c r="B180"/>
      <c r="C180"/>
      <c r="D180"/>
      <c r="E180"/>
      <c r="F180"/>
      <c r="G180"/>
      <c r="H180"/>
      <c r="I180"/>
      <c r="J180"/>
      <c r="K180"/>
      <c r="L180"/>
      <c r="M180"/>
      <c r="N180"/>
      <c r="O180"/>
      <c r="P180"/>
      <c r="Q180"/>
      <c r="R180"/>
      <c r="S180" s="23" t="s">
        <v>33</v>
      </c>
      <c r="T180" s="96">
        <f t="shared" si="38"/>
        <v>0.96159785627392647</v>
      </c>
      <c r="U180" s="97">
        <f t="shared" si="39"/>
        <v>1.8917762673720642</v>
      </c>
      <c r="W180" s="23" t="s">
        <v>33</v>
      </c>
      <c r="X180" s="96">
        <f t="shared" si="41"/>
        <v>1.1238674945201517</v>
      </c>
      <c r="Y180" s="97">
        <f t="shared" si="42"/>
        <v>2.2464843175043261</v>
      </c>
      <c r="AA180" s="23">
        <f t="shared" si="40"/>
        <v>75</v>
      </c>
      <c r="AB180" s="96">
        <f t="shared" si="40"/>
        <v>1.1687500000000002</v>
      </c>
      <c r="AC180" s="97">
        <f t="shared" si="40"/>
        <v>1.1875</v>
      </c>
      <c r="AD180" s="181"/>
    </row>
    <row r="181" spans="1:30" s="216" customFormat="1">
      <c r="A181"/>
      <c r="B181"/>
      <c r="C181"/>
      <c r="D181"/>
      <c r="E181"/>
      <c r="F181"/>
      <c r="G181"/>
      <c r="H181"/>
      <c r="I181"/>
      <c r="J181"/>
      <c r="K181"/>
      <c r="L181"/>
      <c r="M181"/>
      <c r="N181"/>
      <c r="O181"/>
      <c r="P181"/>
      <c r="Q181"/>
      <c r="R181"/>
      <c r="S181" s="99" t="s">
        <v>34</v>
      </c>
      <c r="T181" s="100">
        <f t="shared" si="38"/>
        <v>0.95927229155675042</v>
      </c>
      <c r="U181" s="98">
        <f t="shared" si="39"/>
        <v>1.8960749225492468</v>
      </c>
      <c r="W181" s="99" t="s">
        <v>34</v>
      </c>
      <c r="X181" s="100">
        <f t="shared" si="41"/>
        <v>1.1391358462236412</v>
      </c>
      <c r="Y181" s="98">
        <f t="shared" si="42"/>
        <v>2.2910905314136731</v>
      </c>
      <c r="AA181" s="99">
        <f t="shared" si="40"/>
        <v>85</v>
      </c>
      <c r="AB181" s="96">
        <f t="shared" si="40"/>
        <v>1.1875</v>
      </c>
      <c r="AC181" s="97">
        <f t="shared" si="40"/>
        <v>1.2083333333333333</v>
      </c>
      <c r="AD181" s="181"/>
    </row>
    <row r="182" spans="1:30" s="216" customFormat="1">
      <c r="A182"/>
      <c r="B182"/>
      <c r="C182"/>
      <c r="D182"/>
      <c r="E182"/>
      <c r="F182"/>
      <c r="G182"/>
      <c r="H182"/>
      <c r="I182"/>
      <c r="J182"/>
      <c r="K182"/>
      <c r="L182"/>
      <c r="M182"/>
      <c r="N182"/>
      <c r="O182"/>
      <c r="P182"/>
      <c r="Q182"/>
      <c r="R182"/>
      <c r="S182" s="99" t="s">
        <v>35</v>
      </c>
      <c r="T182" s="100">
        <f t="shared" si="38"/>
        <v>0.96201579124774828</v>
      </c>
      <c r="U182" s="98">
        <f t="shared" si="39"/>
        <v>1.9124682866743843</v>
      </c>
      <c r="W182" s="99" t="s">
        <v>35</v>
      </c>
      <c r="X182" s="100">
        <f t="shared" si="41"/>
        <v>1.1604315481925964</v>
      </c>
      <c r="Y182" s="98">
        <f t="shared" si="42"/>
        <v>2.3507422690372644</v>
      </c>
      <c r="AA182" s="99">
        <f t="shared" si="40"/>
        <v>95</v>
      </c>
      <c r="AB182" s="96">
        <f t="shared" si="40"/>
        <v>1.20625</v>
      </c>
      <c r="AC182" s="97">
        <f t="shared" si="40"/>
        <v>1.2291666666666667</v>
      </c>
      <c r="AD182" s="181"/>
    </row>
    <row r="183" spans="1:30" s="216" customFormat="1">
      <c r="A183"/>
      <c r="B183"/>
      <c r="C183"/>
      <c r="D183"/>
      <c r="E183"/>
      <c r="F183"/>
      <c r="G183"/>
      <c r="H183"/>
      <c r="I183"/>
      <c r="J183"/>
      <c r="K183"/>
      <c r="L183"/>
      <c r="M183"/>
      <c r="N183"/>
      <c r="O183"/>
      <c r="P183"/>
      <c r="Q183"/>
      <c r="R183"/>
      <c r="S183" s="99" t="s">
        <v>36</v>
      </c>
      <c r="T183" s="100">
        <f t="shared" si="38"/>
        <v>0.96928546489962053</v>
      </c>
      <c r="U183" s="98">
        <f t="shared" si="39"/>
        <v>1.9817147269141757</v>
      </c>
      <c r="W183" s="99" t="s">
        <v>36</v>
      </c>
      <c r="X183" s="100">
        <f t="shared" si="41"/>
        <v>1.1873746945020351</v>
      </c>
      <c r="Y183" s="98">
        <f t="shared" si="42"/>
        <v>2.4771434086427195</v>
      </c>
      <c r="AA183" s="99">
        <f t="shared" si="40"/>
        <v>105</v>
      </c>
      <c r="AB183" s="100">
        <f t="shared" si="40"/>
        <v>1.2250000000000001</v>
      </c>
      <c r="AC183" s="98">
        <f t="shared" si="40"/>
        <v>1.25</v>
      </c>
      <c r="AD183" s="181"/>
    </row>
    <row r="184" spans="1:30" s="216" customFormat="1">
      <c r="A184"/>
      <c r="B184"/>
      <c r="C184"/>
      <c r="D184"/>
      <c r="E184"/>
      <c r="F184"/>
      <c r="G184"/>
      <c r="H184"/>
      <c r="I184"/>
      <c r="J184"/>
      <c r="K184"/>
      <c r="L184"/>
      <c r="M184"/>
      <c r="N184"/>
      <c r="O184"/>
      <c r="P184"/>
      <c r="Q184"/>
      <c r="R184"/>
      <c r="S184" s="99" t="s">
        <v>37</v>
      </c>
      <c r="T184" s="100">
        <f t="shared" si="38"/>
        <v>0.98067518692336375</v>
      </c>
      <c r="U184" s="98">
        <f t="shared" si="39"/>
        <v>2.0509611671539671</v>
      </c>
      <c r="W184" s="99" t="s">
        <v>37</v>
      </c>
      <c r="X184" s="100">
        <f t="shared" si="41"/>
        <v>1.2013271039811206</v>
      </c>
      <c r="Y184" s="98">
        <f t="shared" si="42"/>
        <v>2.5637014589424592</v>
      </c>
      <c r="AA184" s="99">
        <f t="shared" si="40"/>
        <v>115</v>
      </c>
      <c r="AB184" s="100">
        <f t="shared" si="40"/>
        <v>1.2250000000000001</v>
      </c>
      <c r="AC184" s="98">
        <f t="shared" si="40"/>
        <v>1.25</v>
      </c>
      <c r="AD184" s="181"/>
    </row>
    <row r="185" spans="1:30" s="216" customFormat="1">
      <c r="A185"/>
      <c r="B185"/>
      <c r="C185"/>
      <c r="D185"/>
      <c r="E185"/>
      <c r="F185"/>
      <c r="G185"/>
      <c r="H185"/>
      <c r="I185"/>
      <c r="J185"/>
      <c r="K185"/>
      <c r="L185"/>
      <c r="M185"/>
      <c r="N185"/>
      <c r="O185"/>
      <c r="P185"/>
      <c r="Q185"/>
      <c r="R185"/>
      <c r="S185" s="23" t="s">
        <v>38</v>
      </c>
      <c r="T185" s="96">
        <f t="shared" si="38"/>
        <v>0.995870511767317</v>
      </c>
      <c r="U185" s="98">
        <f t="shared" si="39"/>
        <v>2.1202076073937581</v>
      </c>
      <c r="W185" s="23" t="s">
        <v>38</v>
      </c>
      <c r="X185" s="96">
        <f t="shared" si="41"/>
        <v>1.2199413769149634</v>
      </c>
      <c r="Y185" s="98">
        <f t="shared" si="42"/>
        <v>2.6502595092421979</v>
      </c>
      <c r="AA185" s="23">
        <f t="shared" si="40"/>
        <v>125</v>
      </c>
      <c r="AB185" s="100">
        <f t="shared" si="40"/>
        <v>1.2250000000000001</v>
      </c>
      <c r="AC185" s="98">
        <f t="shared" si="40"/>
        <v>1.25</v>
      </c>
      <c r="AD185" s="181"/>
    </row>
    <row r="186" spans="1:30" s="216" customFormat="1" ht="15.75" thickBot="1">
      <c r="A186"/>
      <c r="B186"/>
      <c r="C186"/>
      <c r="D186"/>
      <c r="E186"/>
      <c r="F186"/>
      <c r="G186"/>
      <c r="H186"/>
      <c r="I186"/>
      <c r="J186"/>
      <c r="K186"/>
      <c r="L186"/>
      <c r="M186"/>
      <c r="N186"/>
      <c r="O186"/>
      <c r="P186"/>
      <c r="Q186"/>
      <c r="R186"/>
      <c r="S186" s="24" t="s">
        <v>15</v>
      </c>
      <c r="T186" s="221">
        <f t="shared" si="38"/>
        <v>1.0146210585896995</v>
      </c>
      <c r="U186" s="123">
        <f t="shared" si="39"/>
        <v>2.1894540476335491</v>
      </c>
      <c r="W186" s="24" t="s">
        <v>15</v>
      </c>
      <c r="X186" s="221">
        <f t="shared" si="41"/>
        <v>1.242910796772382</v>
      </c>
      <c r="Y186" s="123">
        <f t="shared" si="42"/>
        <v>2.7368175595419366</v>
      </c>
      <c r="AA186" s="24">
        <f t="shared" si="40"/>
        <v>135</v>
      </c>
      <c r="AB186" s="127">
        <f t="shared" si="40"/>
        <v>1.2250000000000001</v>
      </c>
      <c r="AC186" s="123">
        <f t="shared" si="40"/>
        <v>1.25</v>
      </c>
      <c r="AD186" s="181"/>
    </row>
    <row r="187" spans="1:30" s="216" customFormat="1">
      <c r="A187"/>
      <c r="B187"/>
      <c r="C187"/>
      <c r="D187"/>
      <c r="E187"/>
      <c r="F187"/>
      <c r="G187"/>
      <c r="H187"/>
      <c r="I187"/>
      <c r="J187"/>
      <c r="K187"/>
      <c r="L187"/>
      <c r="M187"/>
      <c r="N187"/>
      <c r="O187"/>
      <c r="P187"/>
      <c r="Q187"/>
      <c r="R187"/>
      <c r="S187" s="35" t="s">
        <v>89</v>
      </c>
      <c r="AA187" s="191" t="str">
        <f>$AA$99</f>
        <v>Źródło: Obliczenia własne na podstawie "Optimisation of Maintenance", OECD/ITF 2012, str. 12</v>
      </c>
      <c r="AB187" s="395"/>
      <c r="AC187" s="395"/>
      <c r="AD187" s="214"/>
    </row>
    <row r="188" spans="1:30" s="216" customFormat="1">
      <c r="A188"/>
      <c r="B188"/>
      <c r="C188"/>
      <c r="D188"/>
      <c r="E188"/>
      <c r="F188"/>
      <c r="G188"/>
      <c r="H188"/>
      <c r="I188"/>
      <c r="J188"/>
      <c r="K188"/>
      <c r="L188"/>
      <c r="M188"/>
      <c r="N188"/>
      <c r="O188"/>
      <c r="P188"/>
      <c r="Q188"/>
      <c r="R188"/>
      <c r="S188" s="329" t="s">
        <v>152</v>
      </c>
      <c r="AA188" s="214"/>
    </row>
    <row r="189" spans="1:30" s="216" customFormat="1">
      <c r="A189"/>
      <c r="B189"/>
      <c r="C189"/>
      <c r="D189"/>
      <c r="E189"/>
      <c r="F189"/>
      <c r="G189"/>
      <c r="H189"/>
      <c r="I189"/>
      <c r="J189"/>
      <c r="K189"/>
      <c r="L189"/>
      <c r="M189"/>
      <c r="N189"/>
      <c r="O189"/>
      <c r="P189"/>
      <c r="Q189"/>
      <c r="R189"/>
      <c r="S189" s="330" t="s">
        <v>388</v>
      </c>
      <c r="AA189" s="214"/>
    </row>
    <row r="190" spans="1:30" s="216" customFormat="1">
      <c r="A190"/>
      <c r="B190"/>
      <c r="C190"/>
      <c r="D190"/>
      <c r="E190"/>
      <c r="F190"/>
      <c r="G190"/>
      <c r="H190"/>
      <c r="I190"/>
      <c r="J190"/>
      <c r="K190"/>
      <c r="L190"/>
      <c r="M190"/>
      <c r="N190"/>
      <c r="O190"/>
      <c r="P190"/>
      <c r="Q190"/>
      <c r="R190"/>
      <c r="S190" s="330" t="s">
        <v>389</v>
      </c>
      <c r="T190"/>
      <c r="U190"/>
      <c r="V190"/>
      <c r="W190"/>
      <c r="X190"/>
      <c r="Y190"/>
      <c r="Z190"/>
      <c r="AA190"/>
    </row>
    <row r="191" spans="1:30" s="454" customFormat="1">
      <c r="S191" s="656" t="s">
        <v>390</v>
      </c>
      <c r="T191" s="656"/>
      <c r="U191" s="656"/>
      <c r="V191" s="656"/>
      <c r="W191" s="656"/>
      <c r="X191" s="656"/>
      <c r="Y191" s="656"/>
      <c r="Z191" s="656"/>
    </row>
    <row r="192" spans="1:30" s="454" customFormat="1">
      <c r="S192" s="656"/>
      <c r="T192" s="656"/>
      <c r="U192" s="656"/>
      <c r="V192" s="656"/>
      <c r="W192" s="656"/>
      <c r="X192" s="656"/>
      <c r="Y192" s="656"/>
      <c r="Z192" s="656"/>
    </row>
    <row r="193" spans="1:28" s="316" customFormat="1" ht="15" customHeight="1"/>
    <row r="194" spans="1:28" s="316" customFormat="1" ht="15" customHeight="1"/>
    <row r="195" spans="1:28" s="316" customFormat="1" ht="15" customHeight="1"/>
    <row r="196" spans="1:28" s="316" customFormat="1" ht="15" customHeight="1"/>
    <row r="197" spans="1:28" s="316" customFormat="1" ht="15" customHeight="1"/>
    <row r="198" spans="1:28">
      <c r="A198" s="645" t="str">
        <f>$A$105</f>
        <v xml:space="preserve">Dodatkowo, dla dróg w terenie falistym (tzn. jeśli nachylenie podłużne drogi wynosi pomiędzy 2% i 6%), należy przemnożyć wartości dla terenu płaskiego przez poniższe współczynniki. </v>
      </c>
      <c r="B198" s="645"/>
      <c r="C198" s="645"/>
      <c r="D198" s="645"/>
      <c r="E198" s="645"/>
      <c r="F198" s="645"/>
      <c r="G198" s="645"/>
      <c r="H198" s="645"/>
      <c r="I198" s="645"/>
      <c r="J198" s="645"/>
      <c r="K198" s="645"/>
      <c r="L198" s="645"/>
      <c r="M198" s="645"/>
      <c r="N198" s="645"/>
      <c r="O198" s="645"/>
      <c r="P198" s="645"/>
      <c r="Q198" s="645"/>
      <c r="R198" s="645"/>
      <c r="S198" s="645"/>
      <c r="T198" s="645"/>
      <c r="U198" s="645"/>
      <c r="V198" s="645"/>
    </row>
    <row r="199" spans="1:28" s="454" customFormat="1">
      <c r="A199" s="645"/>
      <c r="B199" s="645"/>
      <c r="C199" s="645"/>
      <c r="D199" s="645"/>
      <c r="E199" s="645"/>
      <c r="F199" s="645"/>
      <c r="G199" s="645"/>
      <c r="H199" s="645"/>
      <c r="I199" s="645"/>
      <c r="J199" s="645"/>
      <c r="K199" s="645"/>
      <c r="L199" s="645"/>
      <c r="M199" s="645"/>
      <c r="N199" s="645"/>
      <c r="O199" s="645"/>
      <c r="P199" s="645"/>
      <c r="Q199" s="645"/>
      <c r="R199" s="645"/>
      <c r="S199" s="645"/>
      <c r="T199" s="645"/>
      <c r="U199" s="645"/>
      <c r="V199" s="645"/>
    </row>
    <row r="200" spans="1:28">
      <c r="A200" s="645" t="str">
        <f>$A$107</f>
        <v xml:space="preserve">Pominięto współczynniki dla dróg w terenie górskim, tj. o nachyleniu podłużnym powyżej 6%, ponieważ nie mają one istotnego znaczenia dla oceny przez CUPT projektów transportowych realizowanych w Polsce. </v>
      </c>
      <c r="B200" s="645"/>
      <c r="C200" s="645"/>
      <c r="D200" s="645"/>
      <c r="E200" s="645"/>
      <c r="F200" s="645"/>
      <c r="G200" s="645"/>
      <c r="H200" s="645"/>
      <c r="I200" s="645"/>
      <c r="J200" s="645"/>
      <c r="K200" s="645"/>
      <c r="L200" s="645"/>
      <c r="M200" s="645"/>
      <c r="N200" s="645"/>
      <c r="O200" s="645"/>
      <c r="P200" s="645"/>
      <c r="Q200" s="645"/>
      <c r="R200" s="645"/>
      <c r="S200" s="645"/>
      <c r="T200" s="645"/>
      <c r="U200" s="645"/>
      <c r="V200" s="645"/>
    </row>
    <row r="201" spans="1:28" s="454" customFormat="1">
      <c r="A201" s="645"/>
      <c r="B201" s="645"/>
      <c r="C201" s="645"/>
      <c r="D201" s="645"/>
      <c r="E201" s="645"/>
      <c r="F201" s="645"/>
      <c r="G201" s="645"/>
      <c r="H201" s="645"/>
      <c r="I201" s="645"/>
      <c r="J201" s="645"/>
      <c r="K201" s="645"/>
      <c r="L201" s="645"/>
      <c r="M201" s="645"/>
      <c r="N201" s="645"/>
      <c r="O201" s="645"/>
      <c r="P201" s="645"/>
      <c r="Q201" s="645"/>
      <c r="R201" s="645"/>
      <c r="S201" s="645"/>
      <c r="T201" s="645"/>
      <c r="U201" s="645"/>
      <c r="V201" s="645"/>
    </row>
    <row r="202" spans="1:28" s="412" customFormat="1" ht="15.75" thickBot="1">
      <c r="A202" s="412" t="str">
        <f>$A$109</f>
        <v xml:space="preserve">Mnożniki te należy stosować do łącznych VOC (nie tylko do kosztów zużycia paliwa lub energii elektrycznej). </v>
      </c>
    </row>
    <row r="203" spans="1:28" ht="15" customHeight="1">
      <c r="S203" s="124" t="str">
        <f>$S$110</f>
        <v>Mnożniki nachylenia podłużnego drogi</v>
      </c>
      <c r="T203" s="126"/>
      <c r="U203" s="125"/>
      <c r="V203" s="410"/>
    </row>
    <row r="204" spans="1:28" ht="15.75" thickBot="1">
      <c r="S204" s="32" t="s">
        <v>43</v>
      </c>
      <c r="T204" s="33" t="s">
        <v>10</v>
      </c>
      <c r="U204" s="34" t="s">
        <v>6</v>
      </c>
      <c r="V204" s="411"/>
    </row>
    <row r="205" spans="1:28">
      <c r="S205" s="26" t="s">
        <v>13</v>
      </c>
      <c r="T205" s="30">
        <f>$T$112</f>
        <v>1</v>
      </c>
      <c r="U205" s="31">
        <f>U112</f>
        <v>1</v>
      </c>
    </row>
    <row r="206" spans="1:28" ht="15.75" thickBot="1">
      <c r="S206" s="27" t="s">
        <v>12</v>
      </c>
      <c r="T206" s="28">
        <f>$T$113</f>
        <v>1.0316643084185093</v>
      </c>
      <c r="U206" s="29">
        <f>$U$113</f>
        <v>1.1996070463245994</v>
      </c>
    </row>
    <row r="207" spans="1:28">
      <c r="S207" s="35" t="str">
        <f>$S$114</f>
        <v>Źródło: Obliczenia własne</v>
      </c>
      <c r="T207" s="178"/>
      <c r="U207" s="178"/>
    </row>
    <row r="208" spans="1:28" s="420" customFormat="1">
      <c r="S208" s="648" t="str">
        <f>$S$115</f>
        <v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v>
      </c>
      <c r="T208" s="648"/>
      <c r="U208" s="648"/>
      <c r="V208" s="648"/>
      <c r="W208" s="648"/>
      <c r="X208" s="648"/>
      <c r="Y208" s="648"/>
      <c r="Z208" s="648"/>
      <c r="AA208" s="648"/>
      <c r="AB208" s="648"/>
    </row>
    <row r="209" spans="1:61" s="454" customFormat="1">
      <c r="S209" s="648"/>
      <c r="T209" s="648"/>
      <c r="U209" s="648"/>
      <c r="V209" s="648"/>
      <c r="W209" s="648"/>
      <c r="X209" s="648"/>
      <c r="Y209" s="648"/>
      <c r="Z209" s="648"/>
      <c r="AA209" s="648"/>
      <c r="AB209" s="648"/>
    </row>
    <row r="210" spans="1:61" s="454" customFormat="1">
      <c r="S210" s="648"/>
      <c r="T210" s="648"/>
      <c r="U210" s="648"/>
      <c r="V210" s="648"/>
      <c r="W210" s="648"/>
      <c r="X210" s="648"/>
      <c r="Y210" s="648"/>
      <c r="Z210" s="648"/>
      <c r="AA210" s="648"/>
      <c r="AB210" s="648"/>
    </row>
    <row r="211" spans="1:61" s="454" customFormat="1">
      <c r="S211" s="35"/>
      <c r="T211" s="178"/>
      <c r="U211" s="178"/>
    </row>
    <row r="212" spans="1:61"/>
    <row r="213" spans="1:61">
      <c r="A213" s="9" t="s">
        <v>205</v>
      </c>
      <c r="B213" s="6"/>
      <c r="C213" s="6"/>
      <c r="D213" s="6"/>
      <c r="E213" s="6"/>
      <c r="F213" s="6"/>
      <c r="G213" s="6"/>
      <c r="H213" s="6"/>
      <c r="I213" s="6"/>
      <c r="J213" s="6"/>
      <c r="K213" s="6"/>
      <c r="L213" s="6"/>
      <c r="M213" s="6"/>
      <c r="N213" s="6"/>
      <c r="O213" s="6"/>
      <c r="P213" s="6"/>
      <c r="Q213" s="6"/>
      <c r="R213" s="6"/>
      <c r="S213" s="6"/>
      <c r="T213" s="6">
        <v>2019</v>
      </c>
      <c r="U213" s="6">
        <f t="shared" ref="U213:BI213" si="43">T213+1</f>
        <v>2020</v>
      </c>
      <c r="V213" s="6">
        <f t="shared" si="43"/>
        <v>2021</v>
      </c>
      <c r="W213" s="6">
        <f t="shared" si="43"/>
        <v>2022</v>
      </c>
      <c r="X213" s="6">
        <f t="shared" si="43"/>
        <v>2023</v>
      </c>
      <c r="Y213" s="6">
        <f t="shared" si="43"/>
        <v>2024</v>
      </c>
      <c r="Z213" s="6">
        <f t="shared" si="43"/>
        <v>2025</v>
      </c>
      <c r="AA213" s="6">
        <f t="shared" si="43"/>
        <v>2026</v>
      </c>
      <c r="AB213" s="6">
        <f t="shared" si="43"/>
        <v>2027</v>
      </c>
      <c r="AC213" s="6">
        <f t="shared" si="43"/>
        <v>2028</v>
      </c>
      <c r="AD213" s="6">
        <f t="shared" si="43"/>
        <v>2029</v>
      </c>
      <c r="AE213" s="6">
        <f t="shared" si="43"/>
        <v>2030</v>
      </c>
      <c r="AF213" s="6">
        <f t="shared" si="43"/>
        <v>2031</v>
      </c>
      <c r="AG213" s="6">
        <f t="shared" si="43"/>
        <v>2032</v>
      </c>
      <c r="AH213" s="6">
        <f t="shared" si="43"/>
        <v>2033</v>
      </c>
      <c r="AI213" s="6">
        <f t="shared" si="43"/>
        <v>2034</v>
      </c>
      <c r="AJ213" s="6">
        <f t="shared" si="43"/>
        <v>2035</v>
      </c>
      <c r="AK213" s="6">
        <f t="shared" si="43"/>
        <v>2036</v>
      </c>
      <c r="AL213" s="6">
        <f t="shared" si="43"/>
        <v>2037</v>
      </c>
      <c r="AM213" s="6">
        <f t="shared" si="43"/>
        <v>2038</v>
      </c>
      <c r="AN213" s="6">
        <f t="shared" si="43"/>
        <v>2039</v>
      </c>
      <c r="AO213" s="6">
        <f t="shared" si="43"/>
        <v>2040</v>
      </c>
      <c r="AP213" s="6">
        <f t="shared" si="43"/>
        <v>2041</v>
      </c>
      <c r="AQ213" s="6">
        <f t="shared" si="43"/>
        <v>2042</v>
      </c>
      <c r="AR213" s="6">
        <f t="shared" si="43"/>
        <v>2043</v>
      </c>
      <c r="AS213" s="6">
        <f t="shared" si="43"/>
        <v>2044</v>
      </c>
      <c r="AT213" s="6">
        <f t="shared" si="43"/>
        <v>2045</v>
      </c>
      <c r="AU213" s="6">
        <f t="shared" si="43"/>
        <v>2046</v>
      </c>
      <c r="AV213" s="6">
        <f t="shared" si="43"/>
        <v>2047</v>
      </c>
      <c r="AW213" s="6">
        <f t="shared" si="43"/>
        <v>2048</v>
      </c>
      <c r="AX213" s="6">
        <f t="shared" si="43"/>
        <v>2049</v>
      </c>
      <c r="AY213" s="6">
        <f t="shared" si="43"/>
        <v>2050</v>
      </c>
      <c r="AZ213" s="6">
        <f t="shared" si="43"/>
        <v>2051</v>
      </c>
      <c r="BA213" s="6">
        <f t="shared" si="43"/>
        <v>2052</v>
      </c>
      <c r="BB213" s="6">
        <f t="shared" si="43"/>
        <v>2053</v>
      </c>
      <c r="BC213" s="6">
        <f t="shared" si="43"/>
        <v>2054</v>
      </c>
      <c r="BD213" s="6">
        <f t="shared" si="43"/>
        <v>2055</v>
      </c>
      <c r="BE213" s="6">
        <f t="shared" si="43"/>
        <v>2056</v>
      </c>
      <c r="BF213" s="6">
        <f t="shared" si="43"/>
        <v>2057</v>
      </c>
      <c r="BG213" s="6">
        <f t="shared" si="43"/>
        <v>2058</v>
      </c>
      <c r="BH213" s="6">
        <f t="shared" si="43"/>
        <v>2059</v>
      </c>
      <c r="BI213" s="6">
        <f t="shared" si="43"/>
        <v>2060</v>
      </c>
    </row>
    <row r="214" spans="1:61" ht="30">
      <c r="A214" s="8" t="s">
        <v>5</v>
      </c>
      <c r="B214" s="13"/>
      <c r="C214" s="13"/>
      <c r="D214" s="13"/>
      <c r="E214" s="13"/>
      <c r="F214" s="13"/>
      <c r="G214" s="13"/>
      <c r="H214" s="13"/>
      <c r="I214" s="13"/>
      <c r="J214" s="13"/>
      <c r="K214" s="13"/>
      <c r="L214" s="13"/>
      <c r="M214" s="13"/>
      <c r="N214" s="13"/>
      <c r="O214" s="13"/>
      <c r="P214" s="13"/>
      <c r="Q214" s="13"/>
      <c r="R214" s="13"/>
      <c r="S214" s="13"/>
      <c r="T214" s="10">
        <f>Indeksacja!T$6/100</f>
        <v>1.0229999999999999</v>
      </c>
      <c r="U214" s="10">
        <f>Indeksacja!U$6/100</f>
        <v>1.034</v>
      </c>
      <c r="V214" s="10">
        <f>Indeksacja!V$6/100</f>
        <v>1.0509999999999999</v>
      </c>
      <c r="W214" s="19">
        <v>1</v>
      </c>
      <c r="X214" s="19">
        <v>1</v>
      </c>
      <c r="Y214" s="19">
        <v>1</v>
      </c>
      <c r="Z214" s="19">
        <v>1</v>
      </c>
      <c r="AA214" s="19">
        <v>1</v>
      </c>
      <c r="AB214" s="19">
        <v>1</v>
      </c>
      <c r="AC214" s="19">
        <v>1</v>
      </c>
      <c r="AD214" s="19">
        <v>1</v>
      </c>
      <c r="AE214" s="19">
        <v>1</v>
      </c>
      <c r="AF214" s="19">
        <v>1</v>
      </c>
      <c r="AG214" s="19">
        <v>1</v>
      </c>
      <c r="AH214" s="19">
        <v>1</v>
      </c>
      <c r="AI214" s="19">
        <v>1</v>
      </c>
      <c r="AJ214" s="19">
        <v>1</v>
      </c>
      <c r="AK214" s="19">
        <v>1</v>
      </c>
      <c r="AL214" s="19">
        <v>1</v>
      </c>
      <c r="AM214" s="19">
        <v>1</v>
      </c>
      <c r="AN214" s="19">
        <v>1</v>
      </c>
      <c r="AO214" s="19">
        <v>1</v>
      </c>
      <c r="AP214" s="19">
        <v>1</v>
      </c>
      <c r="AQ214" s="19">
        <v>1</v>
      </c>
      <c r="AR214" s="19">
        <v>1</v>
      </c>
      <c r="AS214" s="19">
        <v>1</v>
      </c>
      <c r="AT214" s="19">
        <v>1</v>
      </c>
      <c r="AU214" s="19">
        <v>1</v>
      </c>
      <c r="AV214" s="19">
        <v>1</v>
      </c>
      <c r="AW214" s="19">
        <v>1</v>
      </c>
      <c r="AX214" s="19">
        <v>1</v>
      </c>
      <c r="AY214" s="19">
        <v>1</v>
      </c>
      <c r="AZ214" s="19">
        <v>1</v>
      </c>
      <c r="BA214" s="19">
        <v>1</v>
      </c>
      <c r="BB214" s="19">
        <v>1</v>
      </c>
      <c r="BC214" s="19">
        <v>1</v>
      </c>
      <c r="BD214" s="19">
        <v>1</v>
      </c>
      <c r="BE214" s="19">
        <v>1</v>
      </c>
      <c r="BF214" s="19">
        <v>1</v>
      </c>
      <c r="BG214" s="19">
        <v>1</v>
      </c>
      <c r="BH214" s="19">
        <v>1</v>
      </c>
      <c r="BI214" s="19">
        <v>1</v>
      </c>
    </row>
    <row r="215" spans="1:61" ht="30">
      <c r="A215" s="8" t="s">
        <v>91</v>
      </c>
      <c r="B215" s="13"/>
      <c r="C215" s="13"/>
      <c r="D215" s="13"/>
      <c r="E215" s="13"/>
      <c r="F215" s="13"/>
      <c r="G215" s="13"/>
      <c r="H215" s="13"/>
      <c r="I215" s="13"/>
      <c r="J215" s="13"/>
      <c r="K215" s="13"/>
      <c r="L215" s="13"/>
      <c r="M215" s="13"/>
      <c r="N215" s="13"/>
      <c r="O215" s="13"/>
      <c r="P215" s="13"/>
      <c r="Q215" s="13"/>
      <c r="R215" s="13"/>
      <c r="S215" s="13"/>
      <c r="T215" s="215">
        <v>1</v>
      </c>
      <c r="U215" s="10">
        <f t="shared" ref="U215:BI215" si="44">T215*U214</f>
        <v>1.034</v>
      </c>
      <c r="V215" s="10">
        <f t="shared" si="44"/>
        <v>1.0867339999999999</v>
      </c>
      <c r="W215" s="10">
        <f t="shared" si="44"/>
        <v>1.0867339999999999</v>
      </c>
      <c r="X215" s="10">
        <f t="shared" si="44"/>
        <v>1.0867339999999999</v>
      </c>
      <c r="Y215" s="10">
        <f t="shared" si="44"/>
        <v>1.0867339999999999</v>
      </c>
      <c r="Z215" s="10">
        <f t="shared" si="44"/>
        <v>1.0867339999999999</v>
      </c>
      <c r="AA215" s="10">
        <f t="shared" si="44"/>
        <v>1.0867339999999999</v>
      </c>
      <c r="AB215" s="10">
        <f t="shared" si="44"/>
        <v>1.0867339999999999</v>
      </c>
      <c r="AC215" s="10">
        <f t="shared" si="44"/>
        <v>1.0867339999999999</v>
      </c>
      <c r="AD215" s="10">
        <f t="shared" si="44"/>
        <v>1.0867339999999999</v>
      </c>
      <c r="AE215" s="10">
        <f t="shared" si="44"/>
        <v>1.0867339999999999</v>
      </c>
      <c r="AF215" s="10">
        <f t="shared" si="44"/>
        <v>1.0867339999999999</v>
      </c>
      <c r="AG215" s="10">
        <f t="shared" si="44"/>
        <v>1.0867339999999999</v>
      </c>
      <c r="AH215" s="10">
        <f t="shared" si="44"/>
        <v>1.0867339999999999</v>
      </c>
      <c r="AI215" s="10">
        <f t="shared" si="44"/>
        <v>1.0867339999999999</v>
      </c>
      <c r="AJ215" s="10">
        <f t="shared" si="44"/>
        <v>1.0867339999999999</v>
      </c>
      <c r="AK215" s="10">
        <f t="shared" si="44"/>
        <v>1.0867339999999999</v>
      </c>
      <c r="AL215" s="10">
        <f t="shared" si="44"/>
        <v>1.0867339999999999</v>
      </c>
      <c r="AM215" s="10">
        <f t="shared" si="44"/>
        <v>1.0867339999999999</v>
      </c>
      <c r="AN215" s="10">
        <f t="shared" si="44"/>
        <v>1.0867339999999999</v>
      </c>
      <c r="AO215" s="10">
        <f t="shared" si="44"/>
        <v>1.0867339999999999</v>
      </c>
      <c r="AP215" s="10">
        <f t="shared" si="44"/>
        <v>1.0867339999999999</v>
      </c>
      <c r="AQ215" s="10">
        <f t="shared" si="44"/>
        <v>1.0867339999999999</v>
      </c>
      <c r="AR215" s="10">
        <f t="shared" si="44"/>
        <v>1.0867339999999999</v>
      </c>
      <c r="AS215" s="10">
        <f t="shared" si="44"/>
        <v>1.0867339999999999</v>
      </c>
      <c r="AT215" s="10">
        <f t="shared" si="44"/>
        <v>1.0867339999999999</v>
      </c>
      <c r="AU215" s="10">
        <f t="shared" si="44"/>
        <v>1.0867339999999999</v>
      </c>
      <c r="AV215" s="10">
        <f t="shared" si="44"/>
        <v>1.0867339999999999</v>
      </c>
      <c r="AW215" s="10">
        <f t="shared" si="44"/>
        <v>1.0867339999999999</v>
      </c>
      <c r="AX215" s="10">
        <f t="shared" si="44"/>
        <v>1.0867339999999999</v>
      </c>
      <c r="AY215" s="10">
        <f t="shared" si="44"/>
        <v>1.0867339999999999</v>
      </c>
      <c r="AZ215" s="10">
        <f t="shared" si="44"/>
        <v>1.0867339999999999</v>
      </c>
      <c r="BA215" s="10">
        <f t="shared" si="44"/>
        <v>1.0867339999999999</v>
      </c>
      <c r="BB215" s="10">
        <f t="shared" si="44"/>
        <v>1.0867339999999999</v>
      </c>
      <c r="BC215" s="10">
        <f t="shared" si="44"/>
        <v>1.0867339999999999</v>
      </c>
      <c r="BD215" s="10">
        <f t="shared" si="44"/>
        <v>1.0867339999999999</v>
      </c>
      <c r="BE215" s="10">
        <f t="shared" si="44"/>
        <v>1.0867339999999999</v>
      </c>
      <c r="BF215" s="10">
        <f t="shared" si="44"/>
        <v>1.0867339999999999</v>
      </c>
      <c r="BG215" s="10">
        <f t="shared" si="44"/>
        <v>1.0867339999999999</v>
      </c>
      <c r="BH215" s="10">
        <f t="shared" si="44"/>
        <v>1.0867339999999999</v>
      </c>
      <c r="BI215" s="10">
        <f t="shared" si="44"/>
        <v>1.0867339999999999</v>
      </c>
    </row>
    <row r="216" spans="1:61">
      <c r="A216" s="35" t="str">
        <f>Indeksacja!A$7</f>
        <v>Źródło: GUS, https://stat.gov.pl/wskazniki-makroekonomiczne/ - Roczne wskaźniki makroekonomiczne, arkusz "WSKAŹNIKI CEN" (aktualizacja 20.04.2022)</v>
      </c>
    </row>
    <row r="217" spans="1:61"/>
    <row r="218" spans="1:61"/>
    <row r="219" spans="1:61">
      <c r="A219" s="653" t="s">
        <v>391</v>
      </c>
      <c r="B219" s="653"/>
      <c r="C219" s="653"/>
      <c r="D219" s="653"/>
      <c r="E219" s="653"/>
      <c r="F219" s="653"/>
      <c r="G219" s="653"/>
      <c r="H219" s="653"/>
      <c r="I219" s="653"/>
      <c r="J219" s="653"/>
      <c r="K219" s="653"/>
      <c r="L219" s="653"/>
      <c r="M219" s="653"/>
      <c r="N219" s="653"/>
      <c r="O219" s="653"/>
      <c r="P219" s="653"/>
      <c r="Q219" s="653"/>
      <c r="R219" s="653"/>
      <c r="S219" s="653"/>
      <c r="T219" s="653"/>
      <c r="U219" s="653"/>
      <c r="V219" s="653"/>
    </row>
    <row r="220" spans="1:61" s="454" customFormat="1">
      <c r="A220" s="653"/>
      <c r="B220" s="653"/>
      <c r="C220" s="653"/>
      <c r="D220" s="653"/>
      <c r="E220" s="653"/>
      <c r="F220" s="653"/>
      <c r="G220" s="653"/>
      <c r="H220" s="653"/>
      <c r="I220" s="653"/>
      <c r="J220" s="653"/>
      <c r="K220" s="653"/>
      <c r="L220" s="653"/>
      <c r="M220" s="653"/>
      <c r="N220" s="653"/>
      <c r="O220" s="653"/>
      <c r="P220" s="653"/>
      <c r="Q220" s="653"/>
      <c r="R220" s="653"/>
      <c r="S220" s="653"/>
      <c r="T220" s="653"/>
      <c r="U220" s="653"/>
      <c r="V220" s="653"/>
    </row>
    <row r="221" spans="1:61" s="214" customFormat="1">
      <c r="A221" s="645"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221" s="645"/>
      <c r="C221" s="645"/>
      <c r="D221" s="645"/>
      <c r="E221" s="645"/>
      <c r="F221" s="645"/>
      <c r="G221" s="645"/>
      <c r="H221" s="645"/>
      <c r="I221" s="645"/>
      <c r="J221" s="645"/>
      <c r="K221" s="645"/>
      <c r="L221" s="645"/>
      <c r="M221" s="645"/>
      <c r="N221" s="645"/>
      <c r="O221" s="645"/>
      <c r="P221" s="645"/>
      <c r="Q221" s="645"/>
      <c r="R221" s="645"/>
      <c r="S221" s="645"/>
      <c r="T221" s="645"/>
      <c r="U221" s="645"/>
      <c r="V221" s="645"/>
    </row>
    <row r="222" spans="1:61" s="454" customFormat="1">
      <c r="A222" s="645"/>
      <c r="B222" s="645"/>
      <c r="C222" s="645"/>
      <c r="D222" s="645"/>
      <c r="E222" s="645"/>
      <c r="F222" s="645"/>
      <c r="G222" s="645"/>
      <c r="H222" s="645"/>
      <c r="I222" s="645"/>
      <c r="J222" s="645"/>
      <c r="K222" s="645"/>
      <c r="L222" s="645"/>
      <c r="M222" s="645"/>
      <c r="N222" s="645"/>
      <c r="O222" s="645"/>
      <c r="P222" s="645"/>
      <c r="Q222" s="645"/>
      <c r="R222" s="645"/>
      <c r="S222" s="645"/>
      <c r="T222" s="645"/>
      <c r="U222" s="645"/>
      <c r="V222" s="645"/>
    </row>
    <row r="223" spans="1:61" s="454" customFormat="1">
      <c r="A223" s="645"/>
      <c r="B223" s="645"/>
      <c r="C223" s="645"/>
      <c r="D223" s="645"/>
      <c r="E223" s="645"/>
      <c r="F223" s="645"/>
      <c r="G223" s="645"/>
      <c r="H223" s="645"/>
      <c r="I223" s="645"/>
      <c r="J223" s="645"/>
      <c r="K223" s="645"/>
      <c r="L223" s="645"/>
      <c r="M223" s="645"/>
      <c r="N223" s="645"/>
      <c r="O223" s="645"/>
      <c r="P223" s="645"/>
      <c r="Q223" s="645"/>
      <c r="R223" s="645"/>
      <c r="S223" s="645"/>
      <c r="T223" s="645"/>
      <c r="U223" s="645"/>
      <c r="V223" s="645"/>
    </row>
    <row r="224" spans="1:61" s="454" customFormat="1">
      <c r="A224" s="649" t="s">
        <v>392</v>
      </c>
      <c r="B224" s="649"/>
      <c r="C224" s="649"/>
      <c r="D224" s="649"/>
      <c r="E224" s="649"/>
      <c r="F224" s="649"/>
      <c r="G224" s="649"/>
      <c r="H224" s="649"/>
      <c r="I224" s="649"/>
      <c r="J224" s="649"/>
      <c r="K224" s="649"/>
      <c r="L224" s="649"/>
      <c r="M224" s="649"/>
      <c r="N224" s="649"/>
      <c r="O224" s="649"/>
      <c r="P224" s="649"/>
      <c r="Q224" s="649"/>
      <c r="R224" s="649"/>
      <c r="S224" s="649"/>
      <c r="T224" s="649"/>
      <c r="U224" s="649"/>
      <c r="V224" s="649"/>
    </row>
    <row r="225" spans="1:61">
      <c r="A225" s="655"/>
      <c r="B225" s="655"/>
      <c r="C225" s="655"/>
      <c r="D225" s="655"/>
      <c r="E225" s="655"/>
      <c r="F225" s="655"/>
      <c r="G225" s="655"/>
      <c r="H225" s="655"/>
      <c r="I225" s="655"/>
      <c r="J225" s="655"/>
      <c r="K225" s="655"/>
      <c r="L225" s="655"/>
      <c r="M225" s="655"/>
      <c r="N225" s="655"/>
      <c r="O225" s="655"/>
      <c r="P225" s="655"/>
      <c r="Q225" s="655"/>
      <c r="R225" s="655"/>
      <c r="S225" s="655"/>
      <c r="T225" s="655"/>
      <c r="U225" s="655"/>
      <c r="V225" s="655"/>
    </row>
    <row r="226" spans="1:61" s="406" customFormat="1">
      <c r="A226" s="664" t="s">
        <v>220</v>
      </c>
      <c r="B226" s="508" t="s">
        <v>221</v>
      </c>
      <c r="C226" s="497"/>
      <c r="D226" s="497"/>
      <c r="E226" s="497"/>
      <c r="F226" s="497"/>
      <c r="G226" s="497"/>
      <c r="H226" s="497"/>
      <c r="I226" s="497"/>
      <c r="J226" s="497"/>
      <c r="K226" s="497"/>
      <c r="L226" s="497"/>
      <c r="M226" s="497"/>
      <c r="N226" s="497"/>
      <c r="O226" s="497"/>
      <c r="P226" s="500"/>
      <c r="Q226" s="6"/>
      <c r="R226" s="6"/>
      <c r="S226" s="6"/>
      <c r="T226" s="6">
        <v>2020</v>
      </c>
      <c r="U226" s="6">
        <f>T226+1</f>
        <v>2021</v>
      </c>
      <c r="V226" s="6">
        <f t="shared" ref="V226:BI226" si="45">U226+1</f>
        <v>2022</v>
      </c>
      <c r="W226" s="6">
        <f t="shared" si="45"/>
        <v>2023</v>
      </c>
      <c r="X226" s="6">
        <f t="shared" si="45"/>
        <v>2024</v>
      </c>
      <c r="Y226" s="6">
        <f t="shared" si="45"/>
        <v>2025</v>
      </c>
      <c r="Z226" s="6">
        <f t="shared" si="45"/>
        <v>2026</v>
      </c>
      <c r="AA226" s="6">
        <f t="shared" si="45"/>
        <v>2027</v>
      </c>
      <c r="AB226" s="6">
        <f t="shared" si="45"/>
        <v>2028</v>
      </c>
      <c r="AC226" s="6">
        <f t="shared" si="45"/>
        <v>2029</v>
      </c>
      <c r="AD226" s="6">
        <f t="shared" si="45"/>
        <v>2030</v>
      </c>
      <c r="AE226" s="6">
        <f t="shared" si="45"/>
        <v>2031</v>
      </c>
      <c r="AF226" s="6">
        <f t="shared" si="45"/>
        <v>2032</v>
      </c>
      <c r="AG226" s="6">
        <f t="shared" si="45"/>
        <v>2033</v>
      </c>
      <c r="AH226" s="6">
        <f t="shared" si="45"/>
        <v>2034</v>
      </c>
      <c r="AI226" s="6">
        <f t="shared" si="45"/>
        <v>2035</v>
      </c>
      <c r="AJ226" s="6">
        <f t="shared" si="45"/>
        <v>2036</v>
      </c>
      <c r="AK226" s="6">
        <f t="shared" si="45"/>
        <v>2037</v>
      </c>
      <c r="AL226" s="6">
        <f t="shared" si="45"/>
        <v>2038</v>
      </c>
      <c r="AM226" s="6">
        <f t="shared" si="45"/>
        <v>2039</v>
      </c>
      <c r="AN226" s="6">
        <f t="shared" si="45"/>
        <v>2040</v>
      </c>
      <c r="AO226" s="6">
        <f t="shared" si="45"/>
        <v>2041</v>
      </c>
      <c r="AP226" s="6">
        <f t="shared" si="45"/>
        <v>2042</v>
      </c>
      <c r="AQ226" s="6">
        <f t="shared" si="45"/>
        <v>2043</v>
      </c>
      <c r="AR226" s="6">
        <f t="shared" si="45"/>
        <v>2044</v>
      </c>
      <c r="AS226" s="6">
        <f t="shared" si="45"/>
        <v>2045</v>
      </c>
      <c r="AT226" s="6">
        <f t="shared" si="45"/>
        <v>2046</v>
      </c>
      <c r="AU226" s="6">
        <f t="shared" si="45"/>
        <v>2047</v>
      </c>
      <c r="AV226" s="6">
        <f t="shared" si="45"/>
        <v>2048</v>
      </c>
      <c r="AW226" s="6">
        <f t="shared" si="45"/>
        <v>2049</v>
      </c>
      <c r="AX226" s="6">
        <f t="shared" si="45"/>
        <v>2050</v>
      </c>
      <c r="AY226" s="6">
        <f t="shared" si="45"/>
        <v>2051</v>
      </c>
      <c r="AZ226" s="6">
        <f t="shared" si="45"/>
        <v>2052</v>
      </c>
      <c r="BA226" s="6">
        <f t="shared" si="45"/>
        <v>2053</v>
      </c>
      <c r="BB226" s="6">
        <f t="shared" si="45"/>
        <v>2054</v>
      </c>
      <c r="BC226" s="6">
        <f t="shared" si="45"/>
        <v>2055</v>
      </c>
      <c r="BD226" s="6">
        <f t="shared" si="45"/>
        <v>2056</v>
      </c>
      <c r="BE226" s="6">
        <f t="shared" si="45"/>
        <v>2057</v>
      </c>
      <c r="BF226" s="6">
        <f t="shared" si="45"/>
        <v>2058</v>
      </c>
      <c r="BG226" s="6">
        <f t="shared" si="45"/>
        <v>2059</v>
      </c>
      <c r="BH226" s="6">
        <f t="shared" si="45"/>
        <v>2060</v>
      </c>
      <c r="BI226" s="6">
        <f t="shared" si="45"/>
        <v>2061</v>
      </c>
    </row>
    <row r="227" spans="1:61">
      <c r="A227" s="665"/>
      <c r="B227" s="509" t="s">
        <v>315</v>
      </c>
      <c r="C227" s="505"/>
      <c r="D227" s="505"/>
      <c r="E227" s="505"/>
      <c r="F227" s="505"/>
      <c r="G227" s="505"/>
      <c r="H227" s="505"/>
      <c r="I227" s="505"/>
      <c r="J227" s="505"/>
      <c r="K227" s="505"/>
      <c r="L227" s="505"/>
      <c r="M227" s="505"/>
      <c r="N227" s="505"/>
      <c r="O227" s="505"/>
      <c r="P227" s="510"/>
      <c r="Q227" s="506">
        <f>DATE(2016,12,31)</f>
        <v>42735</v>
      </c>
      <c r="R227" s="506">
        <f>DATE(YEAR(Q227+1),12,31)</f>
        <v>43100</v>
      </c>
      <c r="S227" s="506">
        <f t="shared" ref="S227" si="46">DATE(YEAR(R227+1),12,31)</f>
        <v>43465</v>
      </c>
      <c r="T227" s="506">
        <f>DATE(YEAR(S227+1),12,31)</f>
        <v>43830</v>
      </c>
      <c r="U227" s="506">
        <f t="shared" ref="U227:BI227" si="47">DATE(YEAR(T227+1),12,31)</f>
        <v>44196</v>
      </c>
      <c r="V227" s="506">
        <f t="shared" si="47"/>
        <v>44561</v>
      </c>
      <c r="W227" s="506">
        <f t="shared" si="47"/>
        <v>44926</v>
      </c>
      <c r="X227" s="506">
        <f t="shared" si="47"/>
        <v>45291</v>
      </c>
      <c r="Y227" s="506">
        <f t="shared" si="47"/>
        <v>45657</v>
      </c>
      <c r="Z227" s="506">
        <f t="shared" si="47"/>
        <v>46022</v>
      </c>
      <c r="AA227" s="506">
        <f t="shared" si="47"/>
        <v>46387</v>
      </c>
      <c r="AB227" s="506">
        <f t="shared" si="47"/>
        <v>46752</v>
      </c>
      <c r="AC227" s="506">
        <f t="shared" si="47"/>
        <v>47118</v>
      </c>
      <c r="AD227" s="506">
        <f t="shared" si="47"/>
        <v>47483</v>
      </c>
      <c r="AE227" s="506">
        <f t="shared" si="47"/>
        <v>47848</v>
      </c>
      <c r="AF227" s="506">
        <f t="shared" si="47"/>
        <v>48213</v>
      </c>
      <c r="AG227" s="506">
        <f t="shared" si="47"/>
        <v>48579</v>
      </c>
      <c r="AH227" s="506">
        <f t="shared" si="47"/>
        <v>48944</v>
      </c>
      <c r="AI227" s="506">
        <f t="shared" si="47"/>
        <v>49309</v>
      </c>
      <c r="AJ227" s="506">
        <f t="shared" si="47"/>
        <v>49674</v>
      </c>
      <c r="AK227" s="506">
        <f t="shared" si="47"/>
        <v>50040</v>
      </c>
      <c r="AL227" s="506">
        <f t="shared" si="47"/>
        <v>50405</v>
      </c>
      <c r="AM227" s="506">
        <f t="shared" si="47"/>
        <v>50770</v>
      </c>
      <c r="AN227" s="506">
        <f t="shared" si="47"/>
        <v>51135</v>
      </c>
      <c r="AO227" s="506">
        <f t="shared" si="47"/>
        <v>51501</v>
      </c>
      <c r="AP227" s="506">
        <f t="shared" si="47"/>
        <v>51866</v>
      </c>
      <c r="AQ227" s="506">
        <f t="shared" si="47"/>
        <v>52231</v>
      </c>
      <c r="AR227" s="506">
        <f t="shared" si="47"/>
        <v>52596</v>
      </c>
      <c r="AS227" s="506">
        <f t="shared" si="47"/>
        <v>52962</v>
      </c>
      <c r="AT227" s="506">
        <f t="shared" si="47"/>
        <v>53327</v>
      </c>
      <c r="AU227" s="506">
        <f t="shared" si="47"/>
        <v>53692</v>
      </c>
      <c r="AV227" s="506">
        <f t="shared" si="47"/>
        <v>54057</v>
      </c>
      <c r="AW227" s="506">
        <f t="shared" si="47"/>
        <v>54423</v>
      </c>
      <c r="AX227" s="506">
        <f t="shared" si="47"/>
        <v>54788</v>
      </c>
      <c r="AY227" s="506">
        <f t="shared" si="47"/>
        <v>55153</v>
      </c>
      <c r="AZ227" s="506">
        <f t="shared" si="47"/>
        <v>55518</v>
      </c>
      <c r="BA227" s="506">
        <f t="shared" si="47"/>
        <v>55884</v>
      </c>
      <c r="BB227" s="506">
        <f t="shared" si="47"/>
        <v>56249</v>
      </c>
      <c r="BC227" s="506">
        <f t="shared" si="47"/>
        <v>56614</v>
      </c>
      <c r="BD227" s="506">
        <f t="shared" si="47"/>
        <v>56979</v>
      </c>
      <c r="BE227" s="506">
        <f t="shared" si="47"/>
        <v>57345</v>
      </c>
      <c r="BF227" s="506">
        <f t="shared" si="47"/>
        <v>57710</v>
      </c>
      <c r="BG227" s="506">
        <f t="shared" si="47"/>
        <v>58075</v>
      </c>
      <c r="BH227" s="506">
        <f t="shared" si="47"/>
        <v>58440</v>
      </c>
      <c r="BI227" s="506">
        <f t="shared" si="47"/>
        <v>58806</v>
      </c>
    </row>
    <row r="228" spans="1:61">
      <c r="A228" s="8" t="str">
        <f>"Prędkość "&amp;$S$179&amp;" km/h"</f>
        <v>Prędkość 61-70 km/h</v>
      </c>
      <c r="B228" s="129" t="s">
        <v>42</v>
      </c>
      <c r="C228" s="13"/>
      <c r="D228" s="13"/>
      <c r="E228" s="13"/>
      <c r="F228" s="13"/>
      <c r="G228" s="13"/>
      <c r="H228" s="13"/>
      <c r="I228" s="13"/>
      <c r="J228" s="13"/>
      <c r="K228" s="13"/>
      <c r="L228" s="13"/>
      <c r="M228" s="13"/>
      <c r="N228" s="13"/>
      <c r="O228" s="13"/>
      <c r="P228" s="13"/>
      <c r="Q228" s="93"/>
      <c r="R228" s="93"/>
      <c r="S228" s="93"/>
      <c r="T228" s="10">
        <f t="shared" ref="T228:BI228" si="48">$T$179*$T$205*T$215</f>
        <v>0.96975015681767085</v>
      </c>
      <c r="U228" s="10">
        <f t="shared" si="48"/>
        <v>1.0027216621494717</v>
      </c>
      <c r="V228" s="10">
        <f t="shared" si="48"/>
        <v>1.0538604669190945</v>
      </c>
      <c r="W228" s="10">
        <f t="shared" si="48"/>
        <v>1.0538604669190945</v>
      </c>
      <c r="X228" s="10">
        <f t="shared" si="48"/>
        <v>1.0538604669190945</v>
      </c>
      <c r="Y228" s="10">
        <f t="shared" si="48"/>
        <v>1.0538604669190945</v>
      </c>
      <c r="Z228" s="10">
        <f t="shared" si="48"/>
        <v>1.0538604669190945</v>
      </c>
      <c r="AA228" s="10">
        <f t="shared" si="48"/>
        <v>1.0538604669190945</v>
      </c>
      <c r="AB228" s="10">
        <f t="shared" si="48"/>
        <v>1.0538604669190945</v>
      </c>
      <c r="AC228" s="10">
        <f t="shared" si="48"/>
        <v>1.0538604669190945</v>
      </c>
      <c r="AD228" s="10">
        <f t="shared" si="48"/>
        <v>1.0538604669190945</v>
      </c>
      <c r="AE228" s="10">
        <f t="shared" si="48"/>
        <v>1.0538604669190945</v>
      </c>
      <c r="AF228" s="10">
        <f t="shared" si="48"/>
        <v>1.0538604669190945</v>
      </c>
      <c r="AG228" s="10">
        <f t="shared" si="48"/>
        <v>1.0538604669190945</v>
      </c>
      <c r="AH228" s="10">
        <f t="shared" si="48"/>
        <v>1.0538604669190945</v>
      </c>
      <c r="AI228" s="10">
        <f t="shared" si="48"/>
        <v>1.0538604669190945</v>
      </c>
      <c r="AJ228" s="10">
        <f t="shared" si="48"/>
        <v>1.0538604669190945</v>
      </c>
      <c r="AK228" s="10">
        <f t="shared" si="48"/>
        <v>1.0538604669190945</v>
      </c>
      <c r="AL228" s="10">
        <f t="shared" si="48"/>
        <v>1.0538604669190945</v>
      </c>
      <c r="AM228" s="10">
        <f t="shared" si="48"/>
        <v>1.0538604669190945</v>
      </c>
      <c r="AN228" s="10">
        <f t="shared" si="48"/>
        <v>1.0538604669190945</v>
      </c>
      <c r="AO228" s="10">
        <f t="shared" si="48"/>
        <v>1.0538604669190945</v>
      </c>
      <c r="AP228" s="10">
        <f t="shared" si="48"/>
        <v>1.0538604669190945</v>
      </c>
      <c r="AQ228" s="10">
        <f t="shared" si="48"/>
        <v>1.0538604669190945</v>
      </c>
      <c r="AR228" s="10">
        <f t="shared" si="48"/>
        <v>1.0538604669190945</v>
      </c>
      <c r="AS228" s="10">
        <f t="shared" si="48"/>
        <v>1.0538604669190945</v>
      </c>
      <c r="AT228" s="10">
        <f t="shared" si="48"/>
        <v>1.0538604669190945</v>
      </c>
      <c r="AU228" s="10">
        <f t="shared" si="48"/>
        <v>1.0538604669190945</v>
      </c>
      <c r="AV228" s="10">
        <f t="shared" si="48"/>
        <v>1.0538604669190945</v>
      </c>
      <c r="AW228" s="10">
        <f t="shared" si="48"/>
        <v>1.0538604669190945</v>
      </c>
      <c r="AX228" s="10">
        <f t="shared" si="48"/>
        <v>1.0538604669190945</v>
      </c>
      <c r="AY228" s="10">
        <f t="shared" si="48"/>
        <v>1.0538604669190945</v>
      </c>
      <c r="AZ228" s="10">
        <f t="shared" si="48"/>
        <v>1.0538604669190945</v>
      </c>
      <c r="BA228" s="10">
        <f t="shared" si="48"/>
        <v>1.0538604669190945</v>
      </c>
      <c r="BB228" s="10">
        <f t="shared" si="48"/>
        <v>1.0538604669190945</v>
      </c>
      <c r="BC228" s="10">
        <f t="shared" si="48"/>
        <v>1.0538604669190945</v>
      </c>
      <c r="BD228" s="10">
        <f t="shared" si="48"/>
        <v>1.0538604669190945</v>
      </c>
      <c r="BE228" s="10">
        <f t="shared" si="48"/>
        <v>1.0538604669190945</v>
      </c>
      <c r="BF228" s="10">
        <f t="shared" si="48"/>
        <v>1.0538604669190945</v>
      </c>
      <c r="BG228" s="10">
        <f t="shared" si="48"/>
        <v>1.0538604669190945</v>
      </c>
      <c r="BH228" s="10">
        <f t="shared" si="48"/>
        <v>1.0538604669190945</v>
      </c>
      <c r="BI228" s="10">
        <f t="shared" si="48"/>
        <v>1.0538604669190945</v>
      </c>
    </row>
    <row r="229" spans="1:61"/>
    <row r="230" spans="1:61"/>
    <row r="231" spans="1:61"/>
    <row r="232" spans="1:61">
      <c r="A232" s="131" t="s">
        <v>393</v>
      </c>
      <c r="B232" s="131"/>
      <c r="C232" s="131"/>
      <c r="D232" s="131"/>
      <c r="E232" s="131"/>
      <c r="F232" s="131"/>
      <c r="G232" s="131"/>
      <c r="H232" s="131"/>
      <c r="I232" s="131"/>
      <c r="J232" s="131"/>
      <c r="K232" s="131"/>
      <c r="L232" s="131"/>
      <c r="M232" s="131"/>
      <c r="N232" s="131"/>
      <c r="O232" s="131"/>
      <c r="P232" s="131"/>
      <c r="Q232" s="131"/>
    </row>
    <row r="233" spans="1:61"/>
    <row r="234" spans="1:61" hidden="1" outlineLevel="1">
      <c r="A234" s="132" t="s">
        <v>394</v>
      </c>
    </row>
    <row r="235" spans="1:61" hidden="1" outlineLevel="1">
      <c r="A235" s="135" t="s">
        <v>67</v>
      </c>
    </row>
    <row r="236" spans="1:61" ht="60.75" hidden="1" outlineLevel="1" thickBot="1">
      <c r="A236" s="183" t="s">
        <v>54</v>
      </c>
      <c r="B236" s="148"/>
      <c r="C236" s="148"/>
      <c r="D236" s="148"/>
      <c r="E236" s="148"/>
      <c r="F236" s="148"/>
      <c r="G236" s="148"/>
      <c r="H236" s="148"/>
      <c r="I236" s="148"/>
      <c r="J236" s="148"/>
      <c r="K236" s="148"/>
      <c r="L236" s="148"/>
      <c r="M236" s="148"/>
      <c r="N236" s="148"/>
      <c r="O236" s="148"/>
      <c r="P236" s="183" t="s">
        <v>95</v>
      </c>
      <c r="Q236" s="183" t="s">
        <v>55</v>
      </c>
      <c r="R236"/>
    </row>
    <row r="237" spans="1:61" ht="30" hidden="1" outlineLevel="1">
      <c r="A237" s="179" t="s">
        <v>56</v>
      </c>
      <c r="B237" s="179" t="s">
        <v>57</v>
      </c>
      <c r="P237" s="133">
        <v>1.81</v>
      </c>
      <c r="Q237" s="143">
        <f t="shared" ref="Q237:Q242" si="49">P237*$B$246</f>
        <v>0.50277777777777777</v>
      </c>
      <c r="R237"/>
    </row>
    <row r="238" spans="1:61" ht="30" hidden="1" outlineLevel="1">
      <c r="A238" s="179" t="str">
        <f>A237</f>
        <v>Samochód osobowy, hybrydowy benzyna +elektryczny</v>
      </c>
      <c r="B238" s="179" t="s">
        <v>58</v>
      </c>
      <c r="P238" s="133">
        <v>2.37</v>
      </c>
      <c r="Q238" s="143">
        <f t="shared" si="49"/>
        <v>0.65833333333333344</v>
      </c>
      <c r="R238"/>
    </row>
    <row r="239" spans="1:61" ht="30" hidden="1" outlineLevel="1">
      <c r="A239" s="179" t="s">
        <v>59</v>
      </c>
      <c r="B239" s="179" t="s">
        <v>57</v>
      </c>
      <c r="P239" s="133">
        <v>0.84</v>
      </c>
      <c r="Q239" s="143">
        <f t="shared" si="49"/>
        <v>0.23333333333333334</v>
      </c>
      <c r="R239"/>
    </row>
    <row r="240" spans="1:61" ht="30" hidden="1" outlineLevel="1">
      <c r="A240" s="179" t="s">
        <v>59</v>
      </c>
      <c r="B240" s="179" t="s">
        <v>58</v>
      </c>
      <c r="P240" s="133">
        <v>0.73</v>
      </c>
      <c r="Q240" s="143">
        <f t="shared" si="49"/>
        <v>0.20277777777777778</v>
      </c>
      <c r="R240"/>
    </row>
    <row r="241" spans="1:25" ht="45" hidden="1" outlineLevel="1">
      <c r="A241" s="179" t="s">
        <v>61</v>
      </c>
      <c r="B241" s="179" t="s">
        <v>57</v>
      </c>
      <c r="P241" s="133">
        <v>11.42</v>
      </c>
      <c r="Q241" s="143">
        <f t="shared" si="49"/>
        <v>3.1722222222222225</v>
      </c>
      <c r="R241"/>
    </row>
    <row r="242" spans="1:25" ht="30" hidden="1" outlineLevel="1">
      <c r="A242" s="180" t="s">
        <v>62</v>
      </c>
      <c r="B242" s="180" t="s">
        <v>57</v>
      </c>
      <c r="C242" s="182"/>
      <c r="D242" s="182"/>
      <c r="E242" s="182"/>
      <c r="F242" s="182"/>
      <c r="G242" s="182"/>
      <c r="H242" s="182"/>
      <c r="I242" s="182"/>
      <c r="J242" s="182"/>
      <c r="K242" s="182"/>
      <c r="L242" s="182"/>
      <c r="M242" s="182"/>
      <c r="N242" s="182"/>
      <c r="O242" s="182"/>
      <c r="P242" s="138">
        <v>7.83</v>
      </c>
      <c r="Q242" s="144">
        <f t="shared" si="49"/>
        <v>2.1750000000000003</v>
      </c>
      <c r="R242"/>
    </row>
    <row r="243" spans="1:25" hidden="1" outlineLevel="1">
      <c r="A243" s="141" t="s">
        <v>395</v>
      </c>
      <c r="B243" s="149"/>
      <c r="C243" s="149"/>
      <c r="D243" s="149"/>
      <c r="E243" s="149"/>
      <c r="F243" s="149"/>
      <c r="G243" s="149"/>
      <c r="H243" s="149"/>
      <c r="I243" s="149"/>
      <c r="J243" s="149"/>
      <c r="K243" s="149"/>
      <c r="L243" s="149"/>
      <c r="M243" s="149"/>
      <c r="N243" s="149"/>
      <c r="O243" s="149"/>
      <c r="P243" s="150"/>
      <c r="Q243" s="151"/>
      <c r="R243" s="152"/>
      <c r="S243" s="153"/>
      <c r="T243" s="154"/>
    </row>
    <row r="244" spans="1:25" hidden="1" outlineLevel="1">
      <c r="A244" s="35" t="s">
        <v>68</v>
      </c>
    </row>
    <row r="245" spans="1:25" hidden="1" outlineLevel="1"/>
    <row r="246" spans="1:25" hidden="1" outlineLevel="1">
      <c r="A246" s="181" t="s">
        <v>48</v>
      </c>
      <c r="B246" s="147">
        <f>B247/(B248*B249)</f>
        <v>0.27777777777777779</v>
      </c>
    </row>
    <row r="247" spans="1:25" hidden="1" outlineLevel="1">
      <c r="B247" s="102">
        <f>10^6</f>
        <v>1000000</v>
      </c>
      <c r="P247" s="181" t="s">
        <v>51</v>
      </c>
    </row>
    <row r="248" spans="1:25" hidden="1" outlineLevel="1">
      <c r="B248" s="102">
        <f>10^3</f>
        <v>1000</v>
      </c>
      <c r="P248" s="181" t="s">
        <v>52</v>
      </c>
    </row>
    <row r="249" spans="1:25" hidden="1" outlineLevel="1">
      <c r="B249" s="102">
        <f>(60*60)</f>
        <v>3600</v>
      </c>
      <c r="P249" s="181" t="s">
        <v>53</v>
      </c>
    </row>
    <row r="250" spans="1:25" hidden="1" outlineLevel="1"/>
    <row r="251" spans="1:25" collapsed="1">
      <c r="A251" s="189" t="s">
        <v>103</v>
      </c>
      <c r="R251" s="178"/>
      <c r="S251" s="679" t="str">
        <f>$A$202</f>
        <v xml:space="preserve">Mnożniki te należy stosować do łącznych VOC (nie tylko do kosztów zużycia paliwa lub energii elektrycznej). </v>
      </c>
      <c r="T251" s="679"/>
      <c r="U251" s="679"/>
      <c r="W251" s="681" t="str">
        <f>$AD$172</f>
        <v xml:space="preserve">Mnożniki te należy stosować do łącznych VOC (nie tylko do kosztów zużycia paliwa lub energii elektrycznej). </v>
      </c>
      <c r="X251" s="681"/>
      <c r="Y251" s="681"/>
    </row>
    <row r="252" spans="1:25" s="419" customFormat="1">
      <c r="A252" s="189"/>
      <c r="R252" s="178"/>
      <c r="S252" s="679"/>
      <c r="T252" s="679"/>
      <c r="U252" s="679"/>
      <c r="W252" s="681"/>
      <c r="X252" s="681"/>
      <c r="Y252" s="681"/>
    </row>
    <row r="253" spans="1:25" s="419" customFormat="1" ht="15.75" thickBot="1">
      <c r="A253" s="189"/>
      <c r="R253" s="178"/>
      <c r="S253" s="680"/>
      <c r="T253" s="680"/>
      <c r="U253" s="680"/>
      <c r="W253" s="682"/>
      <c r="X253" s="682"/>
      <c r="Y253" s="682"/>
    </row>
    <row r="254" spans="1:25" ht="15" customHeight="1">
      <c r="S254" s="124" t="s">
        <v>44</v>
      </c>
      <c r="T254" s="126"/>
      <c r="U254" s="125"/>
      <c r="W254" s="124" t="s">
        <v>45</v>
      </c>
      <c r="X254" s="126"/>
      <c r="Y254" s="125"/>
    </row>
    <row r="255" spans="1:25" ht="30.75" thickBot="1">
      <c r="S255" s="32" t="s">
        <v>43</v>
      </c>
      <c r="T255" s="33" t="s">
        <v>10</v>
      </c>
      <c r="U255" s="192" t="s">
        <v>102</v>
      </c>
      <c r="W255" s="25" t="s">
        <v>104</v>
      </c>
      <c r="X255" s="20" t="s">
        <v>10</v>
      </c>
      <c r="Y255" s="192" t="s">
        <v>102</v>
      </c>
    </row>
    <row r="256" spans="1:25">
      <c r="S256" s="26" t="s">
        <v>13</v>
      </c>
      <c r="T256" s="30">
        <f>T205</f>
        <v>1</v>
      </c>
      <c r="U256" s="31">
        <f>U205</f>
        <v>1</v>
      </c>
      <c r="W256" s="26" t="s">
        <v>105</v>
      </c>
      <c r="X256" s="193">
        <v>1</v>
      </c>
      <c r="Y256" s="194">
        <v>1</v>
      </c>
    </row>
    <row r="257" spans="1:28" ht="15.75" thickBot="1">
      <c r="S257" s="27" t="s">
        <v>12</v>
      </c>
      <c r="T257" s="28">
        <f>T206</f>
        <v>1.0316643084185093</v>
      </c>
      <c r="U257" s="29">
        <f>U206</f>
        <v>1.1996070463245994</v>
      </c>
      <c r="W257" s="195" t="s">
        <v>106</v>
      </c>
      <c r="X257" s="127">
        <f>AVERAGE(AB177,AB183)</f>
        <v>1.1687500000000002</v>
      </c>
      <c r="Y257" s="123">
        <f>AVERAGE(AC177,AC183)</f>
        <v>1.1875</v>
      </c>
    </row>
    <row r="258" spans="1:28">
      <c r="S258" s="35" t="str">
        <f>$S$207</f>
        <v>Źródło: Obliczenia własne</v>
      </c>
      <c r="T258" s="178"/>
      <c r="U258" s="178"/>
      <c r="W258" s="191" t="str">
        <f>$AA$187</f>
        <v>Źródło: Obliczenia własne na podstawie "Optimisation of Maintenance", OECD/ITF 2012, str. 12</v>
      </c>
    </row>
    <row r="259" spans="1:28" s="420" customFormat="1">
      <c r="S259" s="648" t="str">
        <f>$S$208</f>
        <v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v>
      </c>
      <c r="T259" s="648"/>
      <c r="U259" s="648"/>
      <c r="V259" s="648"/>
      <c r="W259" s="648"/>
      <c r="X259" s="648"/>
      <c r="Y259" s="648"/>
      <c r="Z259" s="648"/>
      <c r="AA259" s="648"/>
      <c r="AB259" s="648"/>
    </row>
    <row r="260" spans="1:28" s="454" customFormat="1">
      <c r="S260" s="648"/>
      <c r="T260" s="648"/>
      <c r="U260" s="648"/>
      <c r="V260" s="648"/>
      <c r="W260" s="648"/>
      <c r="X260" s="648"/>
      <c r="Y260" s="648"/>
      <c r="Z260" s="648"/>
      <c r="AA260" s="648"/>
      <c r="AB260" s="648"/>
    </row>
    <row r="261" spans="1:28" s="454" customFormat="1">
      <c r="S261" s="648"/>
      <c r="T261" s="648"/>
      <c r="U261" s="648"/>
      <c r="V261" s="648"/>
      <c r="W261" s="648"/>
      <c r="X261" s="648"/>
      <c r="Y261" s="648"/>
      <c r="Z261" s="648"/>
      <c r="AA261" s="648"/>
      <c r="AB261" s="648"/>
    </row>
    <row r="262" spans="1:28" hidden="1" outlineLevel="1">
      <c r="A262" s="1" t="s">
        <v>96</v>
      </c>
    </row>
    <row r="263" spans="1:28" hidden="1" outlineLevel="1">
      <c r="A263" s="181" t="s">
        <v>396</v>
      </c>
    </row>
    <row r="264" spans="1:28" hidden="1" outlineLevel="1">
      <c r="A264" s="9"/>
      <c r="B264" s="9"/>
      <c r="C264" s="9"/>
      <c r="D264" s="9"/>
      <c r="E264" s="9"/>
      <c r="F264" s="9"/>
      <c r="G264" s="9"/>
      <c r="H264" s="9"/>
      <c r="I264" s="9"/>
      <c r="J264" s="9"/>
      <c r="K264" s="9"/>
      <c r="L264" s="9"/>
      <c r="M264" s="9"/>
      <c r="N264" s="9"/>
      <c r="O264" s="9"/>
      <c r="P264" s="9"/>
      <c r="Q264" s="9"/>
      <c r="R264" s="9"/>
      <c r="S264" s="9"/>
      <c r="T264" s="185">
        <v>2019</v>
      </c>
    </row>
    <row r="265" spans="1:28" ht="75" hidden="1" outlineLevel="1">
      <c r="A265" s="8" t="s">
        <v>94</v>
      </c>
      <c r="B265" s="184" t="s">
        <v>92</v>
      </c>
      <c r="C265" s="90"/>
      <c r="D265" s="90"/>
      <c r="E265" s="90"/>
      <c r="F265" s="90"/>
      <c r="G265" s="90"/>
      <c r="H265" s="90"/>
      <c r="I265" s="90"/>
      <c r="J265" s="90"/>
      <c r="K265" s="90"/>
      <c r="L265" s="90"/>
      <c r="M265" s="90"/>
      <c r="N265" s="90"/>
      <c r="O265" s="90"/>
      <c r="P265" s="90"/>
      <c r="Q265" s="90"/>
      <c r="R265" s="90"/>
      <c r="S265" s="90"/>
      <c r="T265" s="118">
        <v>0.2044</v>
      </c>
    </row>
    <row r="266" spans="1:28" hidden="1" outlineLevel="1">
      <c r="A266" s="35" t="s">
        <v>93</v>
      </c>
    </row>
    <row r="267" spans="1:28" hidden="1" outlineLevel="1">
      <c r="A267" s="91" t="s">
        <v>397</v>
      </c>
    </row>
    <row r="268" spans="1:28" hidden="1" outlineLevel="1">
      <c r="A268" s="91" t="s">
        <v>398</v>
      </c>
    </row>
    <row r="269" spans="1:28" hidden="1" outlineLevel="1"/>
    <row r="270" spans="1:28" hidden="1" outlineLevel="1"/>
    <row r="271" spans="1:28" hidden="1" outlineLevel="1">
      <c r="A271" s="1" t="s">
        <v>97</v>
      </c>
    </row>
    <row r="272" spans="1:28" hidden="1" outlineLevel="1">
      <c r="A272" s="181" t="s">
        <v>386</v>
      </c>
    </row>
    <row r="273" spans="1:61" hidden="1" outlineLevel="1">
      <c r="A273" s="145" t="s">
        <v>399</v>
      </c>
    </row>
    <row r="274" spans="1:61" hidden="1" outlineLevel="1">
      <c r="A274" s="9"/>
      <c r="B274" s="9"/>
      <c r="C274" s="9"/>
      <c r="D274" s="9"/>
      <c r="E274" s="9"/>
      <c r="F274" s="9"/>
      <c r="G274" s="9"/>
      <c r="H274" s="9"/>
      <c r="I274" s="9"/>
      <c r="J274" s="9"/>
      <c r="K274" s="9"/>
      <c r="L274" s="9"/>
      <c r="M274" s="9"/>
      <c r="N274" s="9"/>
      <c r="O274" s="9"/>
      <c r="P274" s="9"/>
      <c r="Q274" s="9"/>
      <c r="R274" s="9"/>
      <c r="S274" s="9"/>
      <c r="T274" s="185">
        <v>2019</v>
      </c>
    </row>
    <row r="275" spans="1:61" hidden="1" outlineLevel="1">
      <c r="A275" s="8" t="s">
        <v>101</v>
      </c>
      <c r="B275" s="507" t="s">
        <v>98</v>
      </c>
      <c r="C275" s="12"/>
      <c r="D275" s="12"/>
      <c r="E275" s="12"/>
      <c r="F275" s="12"/>
      <c r="G275" s="12"/>
      <c r="H275" s="12"/>
      <c r="I275" s="12"/>
      <c r="J275" s="12"/>
      <c r="K275" s="12"/>
      <c r="L275" s="12"/>
      <c r="M275" s="12"/>
      <c r="N275" s="12"/>
      <c r="O275" s="12"/>
      <c r="P275" s="12"/>
      <c r="Q275" s="12"/>
      <c r="R275" s="12"/>
      <c r="S275" s="12"/>
      <c r="T275" s="11">
        <f>$T$159</f>
        <v>0.81100964558971222</v>
      </c>
    </row>
    <row r="276" spans="1:61" hidden="1" outlineLevel="1">
      <c r="A276"/>
    </row>
    <row r="277" spans="1:61" collapsed="1">
      <c r="A277"/>
    </row>
    <row r="278" spans="1:61">
      <c r="A278" s="653" t="s">
        <v>400</v>
      </c>
      <c r="B278" s="653"/>
      <c r="C278" s="653"/>
      <c r="D278" s="653"/>
      <c r="E278" s="653"/>
      <c r="F278" s="653"/>
      <c r="G278" s="653"/>
      <c r="H278" s="653"/>
      <c r="I278" s="653"/>
      <c r="J278" s="653"/>
      <c r="K278" s="653"/>
      <c r="L278" s="653"/>
      <c r="M278" s="653"/>
      <c r="N278" s="653"/>
      <c r="O278" s="653"/>
      <c r="P278" s="653"/>
      <c r="Q278" s="653"/>
      <c r="R278" s="653"/>
      <c r="S278" s="653"/>
      <c r="T278" s="653"/>
      <c r="U278" s="653"/>
      <c r="V278" s="653"/>
    </row>
    <row r="279" spans="1:61" s="454" customFormat="1">
      <c r="A279" s="653"/>
      <c r="B279" s="653"/>
      <c r="C279" s="653"/>
      <c r="D279" s="653"/>
      <c r="E279" s="653"/>
      <c r="F279" s="653"/>
      <c r="G279" s="653"/>
      <c r="H279" s="653"/>
      <c r="I279" s="653"/>
      <c r="J279" s="653"/>
      <c r="K279" s="653"/>
      <c r="L279" s="653"/>
      <c r="M279" s="653"/>
      <c r="N279" s="653"/>
      <c r="O279" s="653"/>
      <c r="P279" s="653"/>
      <c r="Q279" s="653"/>
      <c r="R279" s="653"/>
      <c r="S279" s="653"/>
      <c r="T279" s="653"/>
      <c r="U279" s="653"/>
      <c r="V279" s="653"/>
    </row>
    <row r="280" spans="1:61">
      <c r="A280" s="649" t="s">
        <v>392</v>
      </c>
      <c r="B280" s="649"/>
      <c r="C280" s="649"/>
      <c r="D280" s="649"/>
      <c r="E280" s="649"/>
      <c r="F280" s="649"/>
      <c r="G280" s="649"/>
      <c r="H280" s="649"/>
      <c r="I280" s="649"/>
      <c r="J280" s="649"/>
      <c r="K280" s="649"/>
      <c r="L280" s="649"/>
      <c r="M280" s="649"/>
      <c r="N280" s="649"/>
      <c r="O280" s="649"/>
      <c r="P280" s="649"/>
      <c r="Q280" s="649"/>
      <c r="R280" s="649"/>
      <c r="S280" s="649"/>
      <c r="T280" s="649"/>
      <c r="U280" s="649"/>
      <c r="V280" s="649"/>
    </row>
    <row r="281" spans="1:61" s="454" customFormat="1">
      <c r="A281" s="649"/>
      <c r="B281" s="649"/>
      <c r="C281" s="649"/>
      <c r="D281" s="649"/>
      <c r="E281" s="649"/>
      <c r="F281" s="649"/>
      <c r="G281" s="649"/>
      <c r="H281" s="649"/>
      <c r="I281" s="649"/>
      <c r="J281" s="649"/>
      <c r="K281" s="649"/>
      <c r="L281" s="649"/>
      <c r="M281" s="649"/>
      <c r="N281" s="649"/>
      <c r="O281" s="649"/>
      <c r="P281" s="649"/>
      <c r="Q281" s="649"/>
      <c r="R281" s="649"/>
      <c r="S281" s="649"/>
      <c r="T281" s="649"/>
      <c r="U281" s="649"/>
      <c r="V281" s="649"/>
    </row>
    <row r="282" spans="1:61" s="196" customFormat="1">
      <c r="A282" s="645" t="s">
        <v>401</v>
      </c>
      <c r="B282" s="645"/>
      <c r="C282" s="645"/>
      <c r="D282" s="645"/>
      <c r="E282" s="645"/>
      <c r="F282" s="645"/>
      <c r="G282" s="645"/>
      <c r="H282" s="645"/>
      <c r="I282" s="645"/>
      <c r="J282" s="645"/>
      <c r="K282" s="645"/>
      <c r="L282" s="645"/>
      <c r="M282" s="645"/>
      <c r="N282" s="645"/>
      <c r="O282" s="645"/>
      <c r="P282" s="645"/>
      <c r="Q282" s="645"/>
      <c r="R282" s="645"/>
      <c r="S282" s="645"/>
      <c r="T282" s="645"/>
      <c r="U282" s="645"/>
      <c r="V282" s="645"/>
    </row>
    <row r="283" spans="1:61" s="454" customFormat="1">
      <c r="A283" s="650"/>
      <c r="B283" s="650"/>
      <c r="C283" s="650"/>
      <c r="D283" s="650"/>
      <c r="E283" s="650"/>
      <c r="F283" s="650"/>
      <c r="G283" s="650"/>
      <c r="H283" s="650"/>
      <c r="I283" s="650"/>
      <c r="J283" s="650"/>
      <c r="K283" s="650"/>
      <c r="L283" s="650"/>
      <c r="M283" s="650"/>
      <c r="N283" s="650"/>
      <c r="O283" s="650"/>
      <c r="P283" s="650"/>
      <c r="Q283" s="650"/>
      <c r="R283" s="650"/>
      <c r="S283" s="650"/>
      <c r="T283" s="650"/>
      <c r="U283" s="650"/>
      <c r="V283" s="650"/>
    </row>
    <row r="284" spans="1:61" s="406" customFormat="1">
      <c r="A284" s="664" t="s">
        <v>402</v>
      </c>
      <c r="B284" s="508" t="s">
        <v>221</v>
      </c>
      <c r="C284" s="497"/>
      <c r="D284" s="497"/>
      <c r="E284" s="497"/>
      <c r="F284" s="497"/>
      <c r="G284" s="497"/>
      <c r="H284" s="497"/>
      <c r="I284" s="497"/>
      <c r="J284" s="497"/>
      <c r="K284" s="497"/>
      <c r="L284" s="497"/>
      <c r="M284" s="497"/>
      <c r="N284" s="497"/>
      <c r="O284" s="497"/>
      <c r="P284" s="500"/>
      <c r="Q284" s="6"/>
      <c r="R284" s="6"/>
      <c r="S284" s="6"/>
      <c r="T284" s="6">
        <v>2020</v>
      </c>
      <c r="U284" s="6">
        <f>T284+1</f>
        <v>2021</v>
      </c>
      <c r="V284" s="6">
        <f t="shared" ref="V284:BI284" si="50">U284+1</f>
        <v>2022</v>
      </c>
      <c r="W284" s="6">
        <f t="shared" si="50"/>
        <v>2023</v>
      </c>
      <c r="X284" s="6">
        <f t="shared" si="50"/>
        <v>2024</v>
      </c>
      <c r="Y284" s="6">
        <f t="shared" si="50"/>
        <v>2025</v>
      </c>
      <c r="Z284" s="6">
        <f t="shared" si="50"/>
        <v>2026</v>
      </c>
      <c r="AA284" s="6">
        <f t="shared" si="50"/>
        <v>2027</v>
      </c>
      <c r="AB284" s="6">
        <f t="shared" si="50"/>
        <v>2028</v>
      </c>
      <c r="AC284" s="6">
        <f t="shared" si="50"/>
        <v>2029</v>
      </c>
      <c r="AD284" s="6">
        <f t="shared" si="50"/>
        <v>2030</v>
      </c>
      <c r="AE284" s="6">
        <f t="shared" si="50"/>
        <v>2031</v>
      </c>
      <c r="AF284" s="6">
        <f t="shared" si="50"/>
        <v>2032</v>
      </c>
      <c r="AG284" s="6">
        <f t="shared" si="50"/>
        <v>2033</v>
      </c>
      <c r="AH284" s="6">
        <f t="shared" si="50"/>
        <v>2034</v>
      </c>
      <c r="AI284" s="6">
        <f t="shared" si="50"/>
        <v>2035</v>
      </c>
      <c r="AJ284" s="6">
        <f t="shared" si="50"/>
        <v>2036</v>
      </c>
      <c r="AK284" s="6">
        <f t="shared" si="50"/>
        <v>2037</v>
      </c>
      <c r="AL284" s="6">
        <f t="shared" si="50"/>
        <v>2038</v>
      </c>
      <c r="AM284" s="6">
        <f t="shared" si="50"/>
        <v>2039</v>
      </c>
      <c r="AN284" s="6">
        <f t="shared" si="50"/>
        <v>2040</v>
      </c>
      <c r="AO284" s="6">
        <f t="shared" si="50"/>
        <v>2041</v>
      </c>
      <c r="AP284" s="6">
        <f t="shared" si="50"/>
        <v>2042</v>
      </c>
      <c r="AQ284" s="6">
        <f t="shared" si="50"/>
        <v>2043</v>
      </c>
      <c r="AR284" s="6">
        <f t="shared" si="50"/>
        <v>2044</v>
      </c>
      <c r="AS284" s="6">
        <f t="shared" si="50"/>
        <v>2045</v>
      </c>
      <c r="AT284" s="6">
        <f t="shared" si="50"/>
        <v>2046</v>
      </c>
      <c r="AU284" s="6">
        <f t="shared" si="50"/>
        <v>2047</v>
      </c>
      <c r="AV284" s="6">
        <f t="shared" si="50"/>
        <v>2048</v>
      </c>
      <c r="AW284" s="6">
        <f t="shared" si="50"/>
        <v>2049</v>
      </c>
      <c r="AX284" s="6">
        <f t="shared" si="50"/>
        <v>2050</v>
      </c>
      <c r="AY284" s="6">
        <f t="shared" si="50"/>
        <v>2051</v>
      </c>
      <c r="AZ284" s="6">
        <f t="shared" si="50"/>
        <v>2052</v>
      </c>
      <c r="BA284" s="6">
        <f t="shared" si="50"/>
        <v>2053</v>
      </c>
      <c r="BB284" s="6">
        <f t="shared" si="50"/>
        <v>2054</v>
      </c>
      <c r="BC284" s="6">
        <f t="shared" si="50"/>
        <v>2055</v>
      </c>
      <c r="BD284" s="6">
        <f t="shared" si="50"/>
        <v>2056</v>
      </c>
      <c r="BE284" s="6">
        <f t="shared" si="50"/>
        <v>2057</v>
      </c>
      <c r="BF284" s="6">
        <f t="shared" si="50"/>
        <v>2058</v>
      </c>
      <c r="BG284" s="6">
        <f t="shared" si="50"/>
        <v>2059</v>
      </c>
      <c r="BH284" s="6">
        <f t="shared" si="50"/>
        <v>2060</v>
      </c>
      <c r="BI284" s="6">
        <f t="shared" si="50"/>
        <v>2061</v>
      </c>
    </row>
    <row r="285" spans="1:61" ht="30" customHeight="1">
      <c r="A285" s="665"/>
      <c r="B285" s="509" t="s">
        <v>315</v>
      </c>
      <c r="C285" s="505"/>
      <c r="D285" s="505"/>
      <c r="E285" s="505"/>
      <c r="F285" s="505"/>
      <c r="G285" s="505"/>
      <c r="H285" s="505"/>
      <c r="I285" s="505"/>
      <c r="J285" s="505"/>
      <c r="K285" s="505"/>
      <c r="L285" s="505"/>
      <c r="M285" s="505"/>
      <c r="N285" s="505"/>
      <c r="O285" s="505"/>
      <c r="P285" s="510"/>
      <c r="Q285" s="506">
        <f>DATE(2016,12,31)</f>
        <v>42735</v>
      </c>
      <c r="R285" s="506">
        <f>DATE(YEAR(Q285+1),12,31)</f>
        <v>43100</v>
      </c>
      <c r="S285" s="506">
        <f t="shared" ref="S285" si="51">DATE(YEAR(R285+1),12,31)</f>
        <v>43465</v>
      </c>
      <c r="T285" s="506">
        <f>DATE(YEAR(S285+1),12,31)</f>
        <v>43830</v>
      </c>
      <c r="U285" s="506">
        <f t="shared" ref="U285:BI285" si="52">DATE(YEAR(T285+1),12,31)</f>
        <v>44196</v>
      </c>
      <c r="V285" s="506">
        <f t="shared" si="52"/>
        <v>44561</v>
      </c>
      <c r="W285" s="506">
        <f t="shared" si="52"/>
        <v>44926</v>
      </c>
      <c r="X285" s="506">
        <f t="shared" si="52"/>
        <v>45291</v>
      </c>
      <c r="Y285" s="506">
        <f t="shared" si="52"/>
        <v>45657</v>
      </c>
      <c r="Z285" s="506">
        <f t="shared" si="52"/>
        <v>46022</v>
      </c>
      <c r="AA285" s="506">
        <f t="shared" si="52"/>
        <v>46387</v>
      </c>
      <c r="AB285" s="506">
        <f t="shared" si="52"/>
        <v>46752</v>
      </c>
      <c r="AC285" s="506">
        <f t="shared" si="52"/>
        <v>47118</v>
      </c>
      <c r="AD285" s="506">
        <f t="shared" si="52"/>
        <v>47483</v>
      </c>
      <c r="AE285" s="506">
        <f t="shared" si="52"/>
        <v>47848</v>
      </c>
      <c r="AF285" s="506">
        <f t="shared" si="52"/>
        <v>48213</v>
      </c>
      <c r="AG285" s="506">
        <f t="shared" si="52"/>
        <v>48579</v>
      </c>
      <c r="AH285" s="506">
        <f t="shared" si="52"/>
        <v>48944</v>
      </c>
      <c r="AI285" s="506">
        <f t="shared" si="52"/>
        <v>49309</v>
      </c>
      <c r="AJ285" s="506">
        <f t="shared" si="52"/>
        <v>49674</v>
      </c>
      <c r="AK285" s="506">
        <f t="shared" si="52"/>
        <v>50040</v>
      </c>
      <c r="AL285" s="506">
        <f t="shared" si="52"/>
        <v>50405</v>
      </c>
      <c r="AM285" s="506">
        <f t="shared" si="52"/>
        <v>50770</v>
      </c>
      <c r="AN285" s="506">
        <f t="shared" si="52"/>
        <v>51135</v>
      </c>
      <c r="AO285" s="506">
        <f t="shared" si="52"/>
        <v>51501</v>
      </c>
      <c r="AP285" s="506">
        <f t="shared" si="52"/>
        <v>51866</v>
      </c>
      <c r="AQ285" s="506">
        <f t="shared" si="52"/>
        <v>52231</v>
      </c>
      <c r="AR285" s="506">
        <f t="shared" si="52"/>
        <v>52596</v>
      </c>
      <c r="AS285" s="506">
        <f t="shared" si="52"/>
        <v>52962</v>
      </c>
      <c r="AT285" s="506">
        <f t="shared" si="52"/>
        <v>53327</v>
      </c>
      <c r="AU285" s="506">
        <f t="shared" si="52"/>
        <v>53692</v>
      </c>
      <c r="AV285" s="506">
        <f t="shared" si="52"/>
        <v>54057</v>
      </c>
      <c r="AW285" s="506">
        <f t="shared" si="52"/>
        <v>54423</v>
      </c>
      <c r="AX285" s="506">
        <f t="shared" si="52"/>
        <v>54788</v>
      </c>
      <c r="AY285" s="506">
        <f t="shared" si="52"/>
        <v>55153</v>
      </c>
      <c r="AZ285" s="506">
        <f t="shared" si="52"/>
        <v>55518</v>
      </c>
      <c r="BA285" s="506">
        <f t="shared" si="52"/>
        <v>55884</v>
      </c>
      <c r="BB285" s="506">
        <f t="shared" si="52"/>
        <v>56249</v>
      </c>
      <c r="BC285" s="506">
        <f t="shared" si="52"/>
        <v>56614</v>
      </c>
      <c r="BD285" s="506">
        <f t="shared" si="52"/>
        <v>56979</v>
      </c>
      <c r="BE285" s="506">
        <f t="shared" si="52"/>
        <v>57345</v>
      </c>
      <c r="BF285" s="506">
        <f t="shared" si="52"/>
        <v>57710</v>
      </c>
      <c r="BG285" s="506">
        <f t="shared" si="52"/>
        <v>58075</v>
      </c>
      <c r="BH285" s="506">
        <f t="shared" si="52"/>
        <v>58440</v>
      </c>
      <c r="BI285" s="506">
        <f t="shared" si="52"/>
        <v>58806</v>
      </c>
    </row>
    <row r="286" spans="1:61" ht="45">
      <c r="A286" s="8" t="s">
        <v>403</v>
      </c>
      <c r="B286" s="129" t="s">
        <v>42</v>
      </c>
      <c r="C286" s="13"/>
      <c r="D286" s="13"/>
      <c r="E286" s="13"/>
      <c r="F286" s="13"/>
      <c r="G286" s="13"/>
      <c r="H286" s="13"/>
      <c r="I286" s="13"/>
      <c r="J286" s="13"/>
      <c r="K286" s="13"/>
      <c r="L286" s="13"/>
      <c r="M286" s="13"/>
      <c r="N286" s="13"/>
      <c r="O286" s="13"/>
      <c r="P286" s="13"/>
      <c r="Q286" s="93"/>
      <c r="R286" s="93"/>
      <c r="S286" s="93"/>
      <c r="T286" s="187">
        <f>($T$275+(T$265*$Q239))*$T$256*$X$256</f>
        <v>0.85870297892304559</v>
      </c>
      <c r="U286" s="190">
        <f>$T286*U$215</f>
        <v>0.88789888020642915</v>
      </c>
      <c r="V286" s="10">
        <f t="shared" ref="V286:BI286" si="53">$T286*V$215</f>
        <v>0.93318172309695691</v>
      </c>
      <c r="W286" s="10">
        <f t="shared" si="53"/>
        <v>0.93318172309695691</v>
      </c>
      <c r="X286" s="10">
        <f t="shared" si="53"/>
        <v>0.93318172309695691</v>
      </c>
      <c r="Y286" s="10">
        <f t="shared" si="53"/>
        <v>0.93318172309695691</v>
      </c>
      <c r="Z286" s="10">
        <f t="shared" si="53"/>
        <v>0.93318172309695691</v>
      </c>
      <c r="AA286" s="10">
        <f t="shared" si="53"/>
        <v>0.93318172309695691</v>
      </c>
      <c r="AB286" s="10">
        <f t="shared" si="53"/>
        <v>0.93318172309695691</v>
      </c>
      <c r="AC286" s="10">
        <f t="shared" si="53"/>
        <v>0.93318172309695691</v>
      </c>
      <c r="AD286" s="10">
        <f t="shared" si="53"/>
        <v>0.93318172309695691</v>
      </c>
      <c r="AE286" s="10">
        <f t="shared" si="53"/>
        <v>0.93318172309695691</v>
      </c>
      <c r="AF286" s="10">
        <f t="shared" si="53"/>
        <v>0.93318172309695691</v>
      </c>
      <c r="AG286" s="10">
        <f t="shared" si="53"/>
        <v>0.93318172309695691</v>
      </c>
      <c r="AH286" s="10">
        <f t="shared" si="53"/>
        <v>0.93318172309695691</v>
      </c>
      <c r="AI286" s="10">
        <f t="shared" si="53"/>
        <v>0.93318172309695691</v>
      </c>
      <c r="AJ286" s="10">
        <f t="shared" si="53"/>
        <v>0.93318172309695691</v>
      </c>
      <c r="AK286" s="10">
        <f t="shared" si="53"/>
        <v>0.93318172309695691</v>
      </c>
      <c r="AL286" s="10">
        <f t="shared" si="53"/>
        <v>0.93318172309695691</v>
      </c>
      <c r="AM286" s="10">
        <f t="shared" si="53"/>
        <v>0.93318172309695691</v>
      </c>
      <c r="AN286" s="10">
        <f t="shared" si="53"/>
        <v>0.93318172309695691</v>
      </c>
      <c r="AO286" s="10">
        <f t="shared" si="53"/>
        <v>0.93318172309695691</v>
      </c>
      <c r="AP286" s="10">
        <f t="shared" si="53"/>
        <v>0.93318172309695691</v>
      </c>
      <c r="AQ286" s="10">
        <f t="shared" si="53"/>
        <v>0.93318172309695691</v>
      </c>
      <c r="AR286" s="10">
        <f t="shared" si="53"/>
        <v>0.93318172309695691</v>
      </c>
      <c r="AS286" s="10">
        <f t="shared" si="53"/>
        <v>0.93318172309695691</v>
      </c>
      <c r="AT286" s="10">
        <f t="shared" si="53"/>
        <v>0.93318172309695691</v>
      </c>
      <c r="AU286" s="10">
        <f t="shared" si="53"/>
        <v>0.93318172309695691</v>
      </c>
      <c r="AV286" s="10">
        <f t="shared" si="53"/>
        <v>0.93318172309695691</v>
      </c>
      <c r="AW286" s="10">
        <f t="shared" si="53"/>
        <v>0.93318172309695691</v>
      </c>
      <c r="AX286" s="10">
        <f t="shared" si="53"/>
        <v>0.93318172309695691</v>
      </c>
      <c r="AY286" s="10">
        <f t="shared" si="53"/>
        <v>0.93318172309695691</v>
      </c>
      <c r="AZ286" s="10">
        <f t="shared" si="53"/>
        <v>0.93318172309695691</v>
      </c>
      <c r="BA286" s="10">
        <f t="shared" si="53"/>
        <v>0.93318172309695691</v>
      </c>
      <c r="BB286" s="10">
        <f t="shared" si="53"/>
        <v>0.93318172309695691</v>
      </c>
      <c r="BC286" s="10">
        <f t="shared" si="53"/>
        <v>0.93318172309695691</v>
      </c>
      <c r="BD286" s="10">
        <f t="shared" si="53"/>
        <v>0.93318172309695691</v>
      </c>
      <c r="BE286" s="10">
        <f t="shared" si="53"/>
        <v>0.93318172309695691</v>
      </c>
      <c r="BF286" s="10">
        <f t="shared" si="53"/>
        <v>0.93318172309695691</v>
      </c>
      <c r="BG286" s="10">
        <f t="shared" si="53"/>
        <v>0.93318172309695691</v>
      </c>
      <c r="BH286" s="10">
        <f t="shared" si="53"/>
        <v>0.93318172309695691</v>
      </c>
      <c r="BI286" s="10">
        <f t="shared" si="53"/>
        <v>0.93318172309695691</v>
      </c>
    </row>
    <row r="287" spans="1:61"/>
    <row r="288" spans="1:61"/>
    <row r="289" spans="1:61">
      <c r="A289" s="653" t="s">
        <v>404</v>
      </c>
      <c r="B289" s="653"/>
      <c r="C289" s="653"/>
      <c r="D289" s="653"/>
      <c r="E289" s="653"/>
      <c r="F289" s="653"/>
      <c r="G289" s="653"/>
      <c r="H289" s="653"/>
      <c r="I289" s="653"/>
      <c r="J289" s="653"/>
      <c r="K289" s="653"/>
      <c r="L289" s="653"/>
      <c r="M289" s="653"/>
      <c r="N289" s="653"/>
      <c r="O289" s="653"/>
      <c r="P289" s="653"/>
      <c r="Q289" s="653"/>
      <c r="R289" s="653"/>
      <c r="S289" s="653"/>
      <c r="T289" s="653"/>
      <c r="U289" s="653"/>
      <c r="V289" s="653"/>
    </row>
    <row r="290" spans="1:61" s="454" customFormat="1">
      <c r="A290" s="653"/>
      <c r="B290" s="653"/>
      <c r="C290" s="653"/>
      <c r="D290" s="653"/>
      <c r="E290" s="653"/>
      <c r="F290" s="653"/>
      <c r="G290" s="653"/>
      <c r="H290" s="653"/>
      <c r="I290" s="653"/>
      <c r="J290" s="653"/>
      <c r="K290" s="653"/>
      <c r="L290" s="653"/>
      <c r="M290" s="653"/>
      <c r="N290" s="653"/>
      <c r="O290" s="653"/>
      <c r="P290" s="653"/>
      <c r="Q290" s="653"/>
      <c r="R290" s="653"/>
      <c r="S290" s="653"/>
      <c r="T290" s="653"/>
      <c r="U290" s="653"/>
      <c r="V290" s="653"/>
    </row>
    <row r="291" spans="1:61" s="454" customFormat="1">
      <c r="A291" s="654" t="s">
        <v>405</v>
      </c>
      <c r="B291" s="654"/>
      <c r="C291" s="654"/>
      <c r="D291" s="654"/>
      <c r="E291" s="654"/>
      <c r="F291" s="654"/>
      <c r="G291" s="654"/>
      <c r="H291" s="654"/>
      <c r="I291" s="654"/>
      <c r="J291" s="654"/>
      <c r="K291" s="654"/>
      <c r="L291" s="654"/>
      <c r="M291" s="654"/>
      <c r="N291" s="654"/>
      <c r="O291" s="654"/>
      <c r="P291" s="654"/>
      <c r="Q291" s="654"/>
      <c r="R291" s="654"/>
      <c r="S291" s="654"/>
      <c r="T291" s="654"/>
      <c r="U291" s="654"/>
      <c r="V291" s="654"/>
    </row>
    <row r="292" spans="1:61" s="454" customFormat="1">
      <c r="A292" s="654"/>
      <c r="B292" s="654"/>
      <c r="C292" s="654"/>
      <c r="D292" s="654"/>
      <c r="E292" s="654"/>
      <c r="F292" s="654"/>
      <c r="G292" s="654"/>
      <c r="H292" s="654"/>
      <c r="I292" s="654"/>
      <c r="J292" s="654"/>
      <c r="K292" s="654"/>
      <c r="L292" s="654"/>
      <c r="M292" s="654"/>
      <c r="N292" s="654"/>
      <c r="O292" s="654"/>
      <c r="P292" s="654"/>
      <c r="Q292" s="654"/>
      <c r="R292" s="654"/>
      <c r="S292" s="654"/>
      <c r="T292" s="654"/>
      <c r="U292" s="654"/>
      <c r="V292" s="654"/>
    </row>
    <row r="293" spans="1:61" s="454" customFormat="1" ht="15" customHeight="1">
      <c r="A293" s="651" t="s">
        <v>406</v>
      </c>
      <c r="B293" s="651"/>
      <c r="C293" s="651"/>
      <c r="D293" s="651"/>
      <c r="E293" s="651"/>
      <c r="F293" s="651"/>
      <c r="G293" s="651"/>
      <c r="H293" s="651"/>
      <c r="I293" s="651"/>
      <c r="J293" s="651"/>
      <c r="K293" s="651"/>
      <c r="L293" s="651"/>
      <c r="M293" s="651"/>
      <c r="N293" s="651"/>
      <c r="O293" s="651"/>
      <c r="P293" s="651"/>
      <c r="Q293" s="651"/>
      <c r="R293" s="651"/>
      <c r="S293" s="651"/>
      <c r="T293" s="651"/>
      <c r="U293" s="651"/>
      <c r="V293" s="651"/>
    </row>
    <row r="294" spans="1:61" s="454" customFormat="1">
      <c r="A294" s="651"/>
      <c r="B294" s="651"/>
      <c r="C294" s="651"/>
      <c r="D294" s="651"/>
      <c r="E294" s="651"/>
      <c r="F294" s="651"/>
      <c r="G294" s="651"/>
      <c r="H294" s="651"/>
      <c r="I294" s="651"/>
      <c r="J294" s="651"/>
      <c r="K294" s="651"/>
      <c r="L294" s="651"/>
      <c r="M294" s="651"/>
      <c r="N294" s="651"/>
      <c r="O294" s="651"/>
      <c r="P294" s="651"/>
      <c r="Q294" s="651"/>
      <c r="R294" s="651"/>
      <c r="S294" s="651"/>
      <c r="T294" s="651"/>
      <c r="U294" s="651"/>
      <c r="V294" s="651"/>
    </row>
    <row r="295" spans="1:61" s="454" customFormat="1">
      <c r="A295" s="651"/>
      <c r="B295" s="651"/>
      <c r="C295" s="651"/>
      <c r="D295" s="651"/>
      <c r="E295" s="651"/>
      <c r="F295" s="651"/>
      <c r="G295" s="651"/>
      <c r="H295" s="651"/>
      <c r="I295" s="651"/>
      <c r="J295" s="651"/>
      <c r="K295" s="651"/>
      <c r="L295" s="651"/>
      <c r="M295" s="651"/>
      <c r="N295" s="651"/>
      <c r="O295" s="651"/>
      <c r="P295" s="651"/>
      <c r="Q295" s="651"/>
      <c r="R295" s="651"/>
      <c r="S295" s="651"/>
      <c r="T295" s="651"/>
      <c r="U295" s="651"/>
      <c r="V295" s="651"/>
    </row>
    <row r="296" spans="1:61" s="454" customFormat="1">
      <c r="A296" s="652"/>
      <c r="B296" s="652"/>
      <c r="C296" s="652"/>
      <c r="D296" s="652"/>
      <c r="E296" s="652"/>
      <c r="F296" s="652"/>
      <c r="G296" s="652"/>
      <c r="H296" s="652"/>
      <c r="I296" s="652"/>
      <c r="J296" s="652"/>
      <c r="K296" s="652"/>
      <c r="L296" s="652"/>
      <c r="M296" s="652"/>
      <c r="N296" s="652"/>
      <c r="O296" s="652"/>
      <c r="P296" s="652"/>
      <c r="Q296" s="652"/>
      <c r="R296" s="652"/>
      <c r="S296" s="652"/>
      <c r="T296" s="652"/>
      <c r="U296" s="652"/>
      <c r="V296" s="652"/>
    </row>
    <row r="297" spans="1:61">
      <c r="A297" s="664"/>
      <c r="B297" s="508" t="s">
        <v>221</v>
      </c>
      <c r="C297" s="497"/>
      <c r="D297" s="497"/>
      <c r="E297" s="497"/>
      <c r="F297" s="497"/>
      <c r="G297" s="497"/>
      <c r="H297" s="497"/>
      <c r="I297" s="497"/>
      <c r="J297" s="497"/>
      <c r="K297" s="497"/>
      <c r="L297" s="497"/>
      <c r="M297" s="497"/>
      <c r="N297" s="497"/>
      <c r="O297" s="497"/>
      <c r="P297" s="500"/>
      <c r="Q297" s="6"/>
      <c r="R297" s="6"/>
      <c r="S297" s="6"/>
      <c r="T297" s="6">
        <v>2020</v>
      </c>
      <c r="U297" s="6">
        <f>T297+1</f>
        <v>2021</v>
      </c>
      <c r="V297" s="6">
        <f t="shared" ref="V297" si="54">U297+1</f>
        <v>2022</v>
      </c>
      <c r="W297" s="6">
        <f t="shared" ref="W297" si="55">V297+1</f>
        <v>2023</v>
      </c>
      <c r="X297" s="6">
        <f t="shared" ref="X297" si="56">W297+1</f>
        <v>2024</v>
      </c>
      <c r="Y297" s="6">
        <f t="shared" ref="Y297" si="57">X297+1</f>
        <v>2025</v>
      </c>
      <c r="Z297" s="6">
        <f t="shared" ref="Z297" si="58">Y297+1</f>
        <v>2026</v>
      </c>
      <c r="AA297" s="6">
        <f t="shared" ref="AA297" si="59">Z297+1</f>
        <v>2027</v>
      </c>
      <c r="AB297" s="6">
        <f t="shared" ref="AB297" si="60">AA297+1</f>
        <v>2028</v>
      </c>
      <c r="AC297" s="6">
        <f t="shared" ref="AC297" si="61">AB297+1</f>
        <v>2029</v>
      </c>
      <c r="AD297" s="6">
        <f t="shared" ref="AD297" si="62">AC297+1</f>
        <v>2030</v>
      </c>
      <c r="AE297" s="6">
        <f t="shared" ref="AE297" si="63">AD297+1</f>
        <v>2031</v>
      </c>
      <c r="AF297" s="6">
        <f t="shared" ref="AF297" si="64">AE297+1</f>
        <v>2032</v>
      </c>
      <c r="AG297" s="6">
        <f t="shared" ref="AG297" si="65">AF297+1</f>
        <v>2033</v>
      </c>
      <c r="AH297" s="6">
        <f t="shared" ref="AH297" si="66">AG297+1</f>
        <v>2034</v>
      </c>
      <c r="AI297" s="6">
        <f t="shared" ref="AI297" si="67">AH297+1</f>
        <v>2035</v>
      </c>
      <c r="AJ297" s="6">
        <f t="shared" ref="AJ297" si="68">AI297+1</f>
        <v>2036</v>
      </c>
      <c r="AK297" s="6">
        <f t="shared" ref="AK297" si="69">AJ297+1</f>
        <v>2037</v>
      </c>
      <c r="AL297" s="6">
        <f t="shared" ref="AL297" si="70">AK297+1</f>
        <v>2038</v>
      </c>
      <c r="AM297" s="6">
        <f t="shared" ref="AM297" si="71">AL297+1</f>
        <v>2039</v>
      </c>
      <c r="AN297" s="6">
        <f t="shared" ref="AN297" si="72">AM297+1</f>
        <v>2040</v>
      </c>
      <c r="AO297" s="6">
        <f t="shared" ref="AO297" si="73">AN297+1</f>
        <v>2041</v>
      </c>
      <c r="AP297" s="6">
        <f t="shared" ref="AP297" si="74">AO297+1</f>
        <v>2042</v>
      </c>
      <c r="AQ297" s="6">
        <f t="shared" ref="AQ297" si="75">AP297+1</f>
        <v>2043</v>
      </c>
      <c r="AR297" s="6">
        <f t="shared" ref="AR297" si="76">AQ297+1</f>
        <v>2044</v>
      </c>
      <c r="AS297" s="6">
        <f t="shared" ref="AS297" si="77">AR297+1</f>
        <v>2045</v>
      </c>
      <c r="AT297" s="6">
        <f t="shared" ref="AT297" si="78">AS297+1</f>
        <v>2046</v>
      </c>
      <c r="AU297" s="6">
        <f t="shared" ref="AU297" si="79">AT297+1</f>
        <v>2047</v>
      </c>
      <c r="AV297" s="6">
        <f t="shared" ref="AV297" si="80">AU297+1</f>
        <v>2048</v>
      </c>
      <c r="AW297" s="6">
        <f t="shared" ref="AW297" si="81">AV297+1</f>
        <v>2049</v>
      </c>
      <c r="AX297" s="6">
        <f t="shared" ref="AX297" si="82">AW297+1</f>
        <v>2050</v>
      </c>
      <c r="AY297" s="6">
        <f t="shared" ref="AY297" si="83">AX297+1</f>
        <v>2051</v>
      </c>
      <c r="AZ297" s="6">
        <f t="shared" ref="AZ297" si="84">AY297+1</f>
        <v>2052</v>
      </c>
      <c r="BA297" s="6">
        <f t="shared" ref="BA297" si="85">AZ297+1</f>
        <v>2053</v>
      </c>
      <c r="BB297" s="6">
        <f t="shared" ref="BB297" si="86">BA297+1</f>
        <v>2054</v>
      </c>
      <c r="BC297" s="6">
        <f t="shared" ref="BC297" si="87">BB297+1</f>
        <v>2055</v>
      </c>
      <c r="BD297" s="6">
        <f t="shared" ref="BD297" si="88">BC297+1</f>
        <v>2056</v>
      </c>
      <c r="BE297" s="6">
        <f t="shared" ref="BE297" si="89">BD297+1</f>
        <v>2057</v>
      </c>
      <c r="BF297" s="6">
        <f t="shared" ref="BF297" si="90">BE297+1</f>
        <v>2058</v>
      </c>
      <c r="BG297" s="6">
        <f t="shared" ref="BG297" si="91">BF297+1</f>
        <v>2059</v>
      </c>
      <c r="BH297" s="6">
        <f t="shared" ref="BH297" si="92">BG297+1</f>
        <v>2060</v>
      </c>
      <c r="BI297" s="6">
        <f t="shared" ref="BI297" si="93">BH297+1</f>
        <v>2061</v>
      </c>
    </row>
    <row r="298" spans="1:61">
      <c r="A298" s="665"/>
      <c r="B298" s="509" t="s">
        <v>315</v>
      </c>
      <c r="C298" s="505"/>
      <c r="D298" s="505"/>
      <c r="E298" s="505"/>
      <c r="F298" s="505"/>
      <c r="G298" s="505"/>
      <c r="H298" s="505"/>
      <c r="I298" s="505"/>
      <c r="J298" s="505"/>
      <c r="K298" s="505"/>
      <c r="L298" s="505"/>
      <c r="M298" s="505"/>
      <c r="N298" s="505"/>
      <c r="O298" s="505"/>
      <c r="P298" s="510"/>
      <c r="Q298" s="506">
        <f>DATE(2016,12,31)</f>
        <v>42735</v>
      </c>
      <c r="R298" s="506">
        <f>DATE(YEAR(Q298+1),12,31)</f>
        <v>43100</v>
      </c>
      <c r="S298" s="506">
        <f t="shared" ref="S298" si="94">DATE(YEAR(R298+1),12,31)</f>
        <v>43465</v>
      </c>
      <c r="T298" s="506">
        <f>DATE(YEAR(S298+1),12,31)</f>
        <v>43830</v>
      </c>
      <c r="U298" s="506">
        <f t="shared" ref="U298:BI298" si="95">DATE(YEAR(T298+1),12,31)</f>
        <v>44196</v>
      </c>
      <c r="V298" s="506">
        <f t="shared" si="95"/>
        <v>44561</v>
      </c>
      <c r="W298" s="506">
        <f t="shared" si="95"/>
        <v>44926</v>
      </c>
      <c r="X298" s="506">
        <f t="shared" si="95"/>
        <v>45291</v>
      </c>
      <c r="Y298" s="506">
        <f t="shared" si="95"/>
        <v>45657</v>
      </c>
      <c r="Z298" s="506">
        <f t="shared" si="95"/>
        <v>46022</v>
      </c>
      <c r="AA298" s="506">
        <f t="shared" si="95"/>
        <v>46387</v>
      </c>
      <c r="AB298" s="506">
        <f t="shared" si="95"/>
        <v>46752</v>
      </c>
      <c r="AC298" s="506">
        <f t="shared" si="95"/>
        <v>47118</v>
      </c>
      <c r="AD298" s="506">
        <f t="shared" si="95"/>
        <v>47483</v>
      </c>
      <c r="AE298" s="506">
        <f t="shared" si="95"/>
        <v>47848</v>
      </c>
      <c r="AF298" s="506">
        <f t="shared" si="95"/>
        <v>48213</v>
      </c>
      <c r="AG298" s="506">
        <f t="shared" si="95"/>
        <v>48579</v>
      </c>
      <c r="AH298" s="506">
        <f t="shared" si="95"/>
        <v>48944</v>
      </c>
      <c r="AI298" s="506">
        <f t="shared" si="95"/>
        <v>49309</v>
      </c>
      <c r="AJ298" s="506">
        <f t="shared" si="95"/>
        <v>49674</v>
      </c>
      <c r="AK298" s="506">
        <f t="shared" si="95"/>
        <v>50040</v>
      </c>
      <c r="AL298" s="506">
        <f t="shared" si="95"/>
        <v>50405</v>
      </c>
      <c r="AM298" s="506">
        <f t="shared" si="95"/>
        <v>50770</v>
      </c>
      <c r="AN298" s="506">
        <f t="shared" si="95"/>
        <v>51135</v>
      </c>
      <c r="AO298" s="506">
        <f t="shared" si="95"/>
        <v>51501</v>
      </c>
      <c r="AP298" s="506">
        <f t="shared" si="95"/>
        <v>51866</v>
      </c>
      <c r="AQ298" s="506">
        <f t="shared" si="95"/>
        <v>52231</v>
      </c>
      <c r="AR298" s="506">
        <f t="shared" si="95"/>
        <v>52596</v>
      </c>
      <c r="AS298" s="506">
        <f t="shared" si="95"/>
        <v>52962</v>
      </c>
      <c r="AT298" s="506">
        <f t="shared" si="95"/>
        <v>53327</v>
      </c>
      <c r="AU298" s="506">
        <f t="shared" si="95"/>
        <v>53692</v>
      </c>
      <c r="AV298" s="506">
        <f t="shared" si="95"/>
        <v>54057</v>
      </c>
      <c r="AW298" s="506">
        <f t="shared" si="95"/>
        <v>54423</v>
      </c>
      <c r="AX298" s="506">
        <f t="shared" si="95"/>
        <v>54788</v>
      </c>
      <c r="AY298" s="506">
        <f t="shared" si="95"/>
        <v>55153</v>
      </c>
      <c r="AZ298" s="506">
        <f t="shared" si="95"/>
        <v>55518</v>
      </c>
      <c r="BA298" s="506">
        <f t="shared" si="95"/>
        <v>55884</v>
      </c>
      <c r="BB298" s="506">
        <f t="shared" si="95"/>
        <v>56249</v>
      </c>
      <c r="BC298" s="506">
        <f t="shared" si="95"/>
        <v>56614</v>
      </c>
      <c r="BD298" s="506">
        <f t="shared" si="95"/>
        <v>56979</v>
      </c>
      <c r="BE298" s="506">
        <f t="shared" si="95"/>
        <v>57345</v>
      </c>
      <c r="BF298" s="506">
        <f t="shared" si="95"/>
        <v>57710</v>
      </c>
      <c r="BG298" s="506">
        <f t="shared" si="95"/>
        <v>58075</v>
      </c>
      <c r="BH298" s="506">
        <f t="shared" si="95"/>
        <v>58440</v>
      </c>
      <c r="BI298" s="506">
        <f t="shared" si="95"/>
        <v>58806</v>
      </c>
    </row>
    <row r="299" spans="1:61" s="454" customFormat="1" ht="30">
      <c r="A299" s="496" t="s">
        <v>317</v>
      </c>
      <c r="B299" s="508"/>
      <c r="C299" s="497"/>
      <c r="D299" s="497"/>
      <c r="E299" s="497"/>
      <c r="F299" s="497"/>
      <c r="G299" s="497"/>
      <c r="H299" s="497"/>
      <c r="I299" s="497"/>
      <c r="J299" s="497"/>
      <c r="K299" s="497"/>
      <c r="L299" s="497"/>
      <c r="M299" s="497"/>
      <c r="N299" s="497"/>
      <c r="O299" s="497"/>
      <c r="P299" s="500"/>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row>
    <row r="300" spans="1:61" s="454" customFormat="1">
      <c r="A300" s="8" t="str">
        <f t="shared" ref="A300:A313" si="96">"Prędkość "&amp;$S173&amp;" km/h"</f>
        <v>Prędkość 0-10 km/h</v>
      </c>
      <c r="B300" s="129" t="s">
        <v>42</v>
      </c>
      <c r="C300" s="13"/>
      <c r="D300" s="13"/>
      <c r="E300" s="13"/>
      <c r="F300" s="13"/>
      <c r="G300" s="13"/>
      <c r="H300" s="13"/>
      <c r="I300" s="13"/>
      <c r="J300" s="13"/>
      <c r="K300" s="13"/>
      <c r="L300" s="13"/>
      <c r="M300" s="13"/>
      <c r="N300" s="13"/>
      <c r="O300" s="13"/>
      <c r="P300" s="13"/>
      <c r="Q300" s="93"/>
      <c r="R300" s="93"/>
      <c r="S300" s="93"/>
      <c r="T300" s="10">
        <f t="shared" ref="T300:BI300" si="97">($T173*$T$205*T$215)*U$50+T$286*U$53</f>
        <v>1.4024734817481062</v>
      </c>
      <c r="U300" s="10">
        <f t="shared" si="97"/>
        <v>1.4461421819775833</v>
      </c>
      <c r="V300" s="10">
        <f t="shared" si="97"/>
        <v>1.5156752498028334</v>
      </c>
      <c r="W300" s="10">
        <f t="shared" si="97"/>
        <v>1.5114550663472268</v>
      </c>
      <c r="X300" s="10">
        <f t="shared" si="97"/>
        <v>1.5072348828916202</v>
      </c>
      <c r="Y300" s="10">
        <f t="shared" si="97"/>
        <v>1.5030146994360141</v>
      </c>
      <c r="Z300" s="10">
        <f t="shared" si="97"/>
        <v>1.4987945159804075</v>
      </c>
      <c r="AA300" s="10">
        <f t="shared" si="97"/>
        <v>1.4945743325248009</v>
      </c>
      <c r="AB300" s="10">
        <f t="shared" si="97"/>
        <v>1.4903541490691945</v>
      </c>
      <c r="AC300" s="10">
        <f t="shared" si="97"/>
        <v>1.4861339656135881</v>
      </c>
      <c r="AD300" s="10">
        <f t="shared" si="97"/>
        <v>1.4819137821579824</v>
      </c>
      <c r="AE300" s="10">
        <f t="shared" si="97"/>
        <v>1.4743850830830127</v>
      </c>
      <c r="AF300" s="10">
        <f t="shared" si="97"/>
        <v>1.4668563840080431</v>
      </c>
      <c r="AG300" s="10">
        <f t="shared" si="97"/>
        <v>1.4593276849330732</v>
      </c>
      <c r="AH300" s="10">
        <f t="shared" si="97"/>
        <v>1.4517989858581037</v>
      </c>
      <c r="AI300" s="10">
        <f t="shared" si="97"/>
        <v>1.4442702867831338</v>
      </c>
      <c r="AJ300" s="10">
        <f t="shared" si="97"/>
        <v>1.4367415877081644</v>
      </c>
      <c r="AK300" s="10">
        <f t="shared" si="97"/>
        <v>1.4292128886331945</v>
      </c>
      <c r="AL300" s="10">
        <f t="shared" si="97"/>
        <v>1.4216841895582248</v>
      </c>
      <c r="AM300" s="10">
        <f t="shared" si="97"/>
        <v>1.4141554904832552</v>
      </c>
      <c r="AN300" s="10">
        <f t="shared" si="97"/>
        <v>1.4066267914082855</v>
      </c>
      <c r="AO300" s="10">
        <f t="shared" si="97"/>
        <v>1.3990980923333161</v>
      </c>
      <c r="AP300" s="10">
        <f t="shared" si="97"/>
        <v>1.3915693932583462</v>
      </c>
      <c r="AQ300" s="10">
        <f t="shared" si="97"/>
        <v>1.3840406941833765</v>
      </c>
      <c r="AR300" s="10">
        <f t="shared" si="97"/>
        <v>1.3765119951084068</v>
      </c>
      <c r="AS300" s="10">
        <f t="shared" si="97"/>
        <v>1.3689832960334372</v>
      </c>
      <c r="AT300" s="10">
        <f t="shared" si="97"/>
        <v>1.3614545969584673</v>
      </c>
      <c r="AU300" s="10">
        <f t="shared" si="97"/>
        <v>1.3539258978834978</v>
      </c>
      <c r="AV300" s="10">
        <f t="shared" si="97"/>
        <v>1.3463971988085279</v>
      </c>
      <c r="AW300" s="10">
        <f t="shared" si="97"/>
        <v>1.3388684997335585</v>
      </c>
      <c r="AX300" s="10">
        <f t="shared" si="97"/>
        <v>1.3313398006585904</v>
      </c>
      <c r="AY300" s="10">
        <f t="shared" si="97"/>
        <v>1.3313398006585904</v>
      </c>
      <c r="AZ300" s="10">
        <f t="shared" si="97"/>
        <v>1.3313398006585904</v>
      </c>
      <c r="BA300" s="10">
        <f t="shared" si="97"/>
        <v>1.3313398006585904</v>
      </c>
      <c r="BB300" s="10">
        <f t="shared" si="97"/>
        <v>1.3313398006585904</v>
      </c>
      <c r="BC300" s="10">
        <f t="shared" si="97"/>
        <v>1.3313398006585904</v>
      </c>
      <c r="BD300" s="10">
        <f t="shared" si="97"/>
        <v>1.3313398006585904</v>
      </c>
      <c r="BE300" s="10">
        <f t="shared" si="97"/>
        <v>1.3313398006585904</v>
      </c>
      <c r="BF300" s="10">
        <f t="shared" si="97"/>
        <v>1.3313398006585904</v>
      </c>
      <c r="BG300" s="10">
        <f t="shared" si="97"/>
        <v>1.3313398006585904</v>
      </c>
      <c r="BH300" s="10">
        <f t="shared" si="97"/>
        <v>1.3313398006585904</v>
      </c>
      <c r="BI300" s="10">
        <f t="shared" si="97"/>
        <v>1.3313398006585904</v>
      </c>
    </row>
    <row r="301" spans="1:61" s="454" customFormat="1">
      <c r="A301" s="8" t="str">
        <f t="shared" si="96"/>
        <v>Prędkość 11-20 km/h</v>
      </c>
      <c r="B301" s="129" t="s">
        <v>42</v>
      </c>
      <c r="C301" s="13"/>
      <c r="D301" s="13"/>
      <c r="E301" s="13"/>
      <c r="F301" s="13"/>
      <c r="G301" s="13"/>
      <c r="H301" s="13"/>
      <c r="I301" s="13"/>
      <c r="J301" s="13"/>
      <c r="K301" s="13"/>
      <c r="L301" s="13"/>
      <c r="M301" s="13"/>
      <c r="N301" s="13"/>
      <c r="O301" s="13"/>
      <c r="P301" s="13"/>
      <c r="Q301" s="93"/>
      <c r="R301" s="93"/>
      <c r="S301" s="93"/>
      <c r="T301" s="10">
        <f t="shared" ref="T301:BI301" si="98">($T174*$T$205*T$215)*U$50+T$286*U$53</f>
        <v>1.1857340974861923</v>
      </c>
      <c r="U301" s="10">
        <f t="shared" si="98"/>
        <v>1.223634140688806</v>
      </c>
      <c r="V301" s="10">
        <f t="shared" si="98"/>
        <v>1.2835014050303104</v>
      </c>
      <c r="W301" s="10">
        <f t="shared" si="98"/>
        <v>1.2809633281966857</v>
      </c>
      <c r="X301" s="10">
        <f t="shared" si="98"/>
        <v>1.2784252513630612</v>
      </c>
      <c r="Y301" s="10">
        <f t="shared" si="98"/>
        <v>1.2758871745294367</v>
      </c>
      <c r="Z301" s="10">
        <f t="shared" si="98"/>
        <v>1.2733490976958119</v>
      </c>
      <c r="AA301" s="10">
        <f t="shared" si="98"/>
        <v>1.2708110208621872</v>
      </c>
      <c r="AB301" s="10">
        <f t="shared" si="98"/>
        <v>1.2682729440285629</v>
      </c>
      <c r="AC301" s="10">
        <f t="shared" si="98"/>
        <v>1.2657348671949382</v>
      </c>
      <c r="AD301" s="10">
        <f t="shared" si="98"/>
        <v>1.2631967903613144</v>
      </c>
      <c r="AE301" s="10">
        <f t="shared" si="98"/>
        <v>1.2586689263690214</v>
      </c>
      <c r="AF301" s="10">
        <f t="shared" si="98"/>
        <v>1.2541410623767282</v>
      </c>
      <c r="AG301" s="10">
        <f t="shared" si="98"/>
        <v>1.2496131983844352</v>
      </c>
      <c r="AH301" s="10">
        <f t="shared" si="98"/>
        <v>1.2450853343921422</v>
      </c>
      <c r="AI301" s="10">
        <f t="shared" si="98"/>
        <v>1.240557470399849</v>
      </c>
      <c r="AJ301" s="10">
        <f t="shared" si="98"/>
        <v>1.2360296064075562</v>
      </c>
      <c r="AK301" s="10">
        <f t="shared" si="98"/>
        <v>1.231501742415263</v>
      </c>
      <c r="AL301" s="10">
        <f t="shared" si="98"/>
        <v>1.2269738784229698</v>
      </c>
      <c r="AM301" s="10">
        <f t="shared" si="98"/>
        <v>1.222446014430677</v>
      </c>
      <c r="AN301" s="10">
        <f t="shared" si="98"/>
        <v>1.2179181504383838</v>
      </c>
      <c r="AO301" s="10">
        <f t="shared" si="98"/>
        <v>1.213390286446091</v>
      </c>
      <c r="AP301" s="10">
        <f t="shared" si="98"/>
        <v>1.2088624224537978</v>
      </c>
      <c r="AQ301" s="10">
        <f t="shared" si="98"/>
        <v>1.2043345584615048</v>
      </c>
      <c r="AR301" s="10">
        <f t="shared" si="98"/>
        <v>1.1998066944692116</v>
      </c>
      <c r="AS301" s="10">
        <f t="shared" si="98"/>
        <v>1.1952788304769186</v>
      </c>
      <c r="AT301" s="10">
        <f t="shared" si="98"/>
        <v>1.1907509664846256</v>
      </c>
      <c r="AU301" s="10">
        <f t="shared" si="98"/>
        <v>1.1862231024923326</v>
      </c>
      <c r="AV301" s="10">
        <f t="shared" si="98"/>
        <v>1.1816952385000394</v>
      </c>
      <c r="AW301" s="10">
        <f t="shared" si="98"/>
        <v>1.1771673745077464</v>
      </c>
      <c r="AX301" s="10">
        <f t="shared" si="98"/>
        <v>1.172639510515455</v>
      </c>
      <c r="AY301" s="10">
        <f t="shared" si="98"/>
        <v>1.172639510515455</v>
      </c>
      <c r="AZ301" s="10">
        <f t="shared" si="98"/>
        <v>1.172639510515455</v>
      </c>
      <c r="BA301" s="10">
        <f t="shared" si="98"/>
        <v>1.172639510515455</v>
      </c>
      <c r="BB301" s="10">
        <f t="shared" si="98"/>
        <v>1.172639510515455</v>
      </c>
      <c r="BC301" s="10">
        <f t="shared" si="98"/>
        <v>1.172639510515455</v>
      </c>
      <c r="BD301" s="10">
        <f t="shared" si="98"/>
        <v>1.172639510515455</v>
      </c>
      <c r="BE301" s="10">
        <f t="shared" si="98"/>
        <v>1.172639510515455</v>
      </c>
      <c r="BF301" s="10">
        <f t="shared" si="98"/>
        <v>1.172639510515455</v>
      </c>
      <c r="BG301" s="10">
        <f t="shared" si="98"/>
        <v>1.172639510515455</v>
      </c>
      <c r="BH301" s="10">
        <f t="shared" si="98"/>
        <v>1.172639510515455</v>
      </c>
      <c r="BI301" s="10">
        <f t="shared" si="98"/>
        <v>1.172639510515455</v>
      </c>
    </row>
    <row r="302" spans="1:61" s="454" customFormat="1">
      <c r="A302" s="8" t="str">
        <f t="shared" si="96"/>
        <v>Prędkość 21-30 km/h</v>
      </c>
      <c r="B302" s="129" t="s">
        <v>42</v>
      </c>
      <c r="C302" s="13"/>
      <c r="D302" s="13"/>
      <c r="E302" s="13"/>
      <c r="F302" s="13"/>
      <c r="G302" s="13"/>
      <c r="H302" s="13"/>
      <c r="I302" s="13"/>
      <c r="J302" s="13"/>
      <c r="K302" s="13"/>
      <c r="L302" s="13"/>
      <c r="M302" s="13"/>
      <c r="N302" s="13"/>
      <c r="O302" s="13"/>
      <c r="P302" s="13"/>
      <c r="Q302" s="93"/>
      <c r="R302" s="93"/>
      <c r="S302" s="93"/>
      <c r="T302" s="10">
        <f t="shared" ref="T302:BI302" si="99">($T175*$T$205*T$215)*U$50+T$286*U$53</f>
        <v>1.0965988074994615</v>
      </c>
      <c r="U302" s="10">
        <f t="shared" si="99"/>
        <v>1.1321264580763672</v>
      </c>
      <c r="V302" s="10">
        <f t="shared" si="99"/>
        <v>1.1880186064074041</v>
      </c>
      <c r="W302" s="10">
        <f t="shared" si="99"/>
        <v>1.1861723053765461</v>
      </c>
      <c r="X302" s="10">
        <f t="shared" si="99"/>
        <v>1.1843260043456882</v>
      </c>
      <c r="Y302" s="10">
        <f t="shared" si="99"/>
        <v>1.1824797033148304</v>
      </c>
      <c r="Z302" s="10">
        <f t="shared" si="99"/>
        <v>1.1806334022839726</v>
      </c>
      <c r="AA302" s="10">
        <f t="shared" si="99"/>
        <v>1.1787871012531146</v>
      </c>
      <c r="AB302" s="10">
        <f t="shared" si="99"/>
        <v>1.176940800222257</v>
      </c>
      <c r="AC302" s="10">
        <f t="shared" si="99"/>
        <v>1.175094499191399</v>
      </c>
      <c r="AD302" s="10">
        <f t="shared" si="99"/>
        <v>1.1732481981605418</v>
      </c>
      <c r="AE302" s="10">
        <f t="shared" si="99"/>
        <v>1.1699544444625436</v>
      </c>
      <c r="AF302" s="10">
        <f t="shared" si="99"/>
        <v>1.1666606907645454</v>
      </c>
      <c r="AG302" s="10">
        <f t="shared" si="99"/>
        <v>1.1633669370665469</v>
      </c>
      <c r="AH302" s="10">
        <f t="shared" si="99"/>
        <v>1.1600731833685487</v>
      </c>
      <c r="AI302" s="10">
        <f t="shared" si="99"/>
        <v>1.1567794296705505</v>
      </c>
      <c r="AJ302" s="10">
        <f t="shared" si="99"/>
        <v>1.1534856759725522</v>
      </c>
      <c r="AK302" s="10">
        <f t="shared" si="99"/>
        <v>1.150191922274554</v>
      </c>
      <c r="AL302" s="10">
        <f t="shared" si="99"/>
        <v>1.1468981685765556</v>
      </c>
      <c r="AM302" s="10">
        <f t="shared" si="99"/>
        <v>1.1436044148785574</v>
      </c>
      <c r="AN302" s="10">
        <f t="shared" si="99"/>
        <v>1.1403106611805591</v>
      </c>
      <c r="AO302" s="10">
        <f t="shared" si="99"/>
        <v>1.1370169074825609</v>
      </c>
      <c r="AP302" s="10">
        <f t="shared" si="99"/>
        <v>1.1337231537845627</v>
      </c>
      <c r="AQ302" s="10">
        <f t="shared" si="99"/>
        <v>1.1304294000865642</v>
      </c>
      <c r="AR302" s="10">
        <f t="shared" si="99"/>
        <v>1.127135646388566</v>
      </c>
      <c r="AS302" s="10">
        <f t="shared" si="99"/>
        <v>1.1238418926905678</v>
      </c>
      <c r="AT302" s="10">
        <f t="shared" si="99"/>
        <v>1.1205481389925693</v>
      </c>
      <c r="AU302" s="10">
        <f t="shared" si="99"/>
        <v>1.1172543852945713</v>
      </c>
      <c r="AV302" s="10">
        <f t="shared" si="99"/>
        <v>1.1139606315965729</v>
      </c>
      <c r="AW302" s="10">
        <f t="shared" si="99"/>
        <v>1.1106668778985747</v>
      </c>
      <c r="AX302" s="10">
        <f t="shared" si="99"/>
        <v>1.1073731242005778</v>
      </c>
      <c r="AY302" s="10">
        <f t="shared" si="99"/>
        <v>1.1073731242005778</v>
      </c>
      <c r="AZ302" s="10">
        <f t="shared" si="99"/>
        <v>1.1073731242005778</v>
      </c>
      <c r="BA302" s="10">
        <f t="shared" si="99"/>
        <v>1.1073731242005778</v>
      </c>
      <c r="BB302" s="10">
        <f t="shared" si="99"/>
        <v>1.1073731242005778</v>
      </c>
      <c r="BC302" s="10">
        <f t="shared" si="99"/>
        <v>1.1073731242005778</v>
      </c>
      <c r="BD302" s="10">
        <f t="shared" si="99"/>
        <v>1.1073731242005778</v>
      </c>
      <c r="BE302" s="10">
        <f t="shared" si="99"/>
        <v>1.1073731242005778</v>
      </c>
      <c r="BF302" s="10">
        <f t="shared" si="99"/>
        <v>1.1073731242005778</v>
      </c>
      <c r="BG302" s="10">
        <f t="shared" si="99"/>
        <v>1.1073731242005778</v>
      </c>
      <c r="BH302" s="10">
        <f t="shared" si="99"/>
        <v>1.1073731242005778</v>
      </c>
      <c r="BI302" s="10">
        <f t="shared" si="99"/>
        <v>1.1073731242005778</v>
      </c>
    </row>
    <row r="303" spans="1:61" s="454" customFormat="1">
      <c r="A303" s="8" t="str">
        <f t="shared" si="96"/>
        <v>Prędkość 31-40 km/h</v>
      </c>
      <c r="B303" s="129" t="s">
        <v>42</v>
      </c>
      <c r="C303" s="13"/>
      <c r="D303" s="13"/>
      <c r="E303" s="13"/>
      <c r="F303" s="13"/>
      <c r="G303" s="13"/>
      <c r="H303" s="13"/>
      <c r="I303" s="13"/>
      <c r="J303" s="13"/>
      <c r="K303" s="13"/>
      <c r="L303" s="13"/>
      <c r="M303" s="13"/>
      <c r="N303" s="13"/>
      <c r="O303" s="13"/>
      <c r="P303" s="13"/>
      <c r="Q303" s="93"/>
      <c r="R303" s="93"/>
      <c r="S303" s="93"/>
      <c r="T303" s="10">
        <f t="shared" ref="T303:BI303" si="100">($T176*$T$205*T$215)*U$50+T$286*U$53</f>
        <v>1.0430131014127211</v>
      </c>
      <c r="U303" s="10">
        <f t="shared" si="100"/>
        <v>1.0771145342257931</v>
      </c>
      <c r="V303" s="10">
        <f t="shared" si="100"/>
        <v>1.130616951191965</v>
      </c>
      <c r="W303" s="10">
        <f t="shared" si="100"/>
        <v>1.1291865269126216</v>
      </c>
      <c r="X303" s="10">
        <f t="shared" si="100"/>
        <v>1.1277561026332781</v>
      </c>
      <c r="Y303" s="10">
        <f t="shared" si="100"/>
        <v>1.1263256783539348</v>
      </c>
      <c r="Z303" s="10">
        <f t="shared" si="100"/>
        <v>1.1248952540745913</v>
      </c>
      <c r="AA303" s="10">
        <f t="shared" si="100"/>
        <v>1.1234648297952479</v>
      </c>
      <c r="AB303" s="10">
        <f t="shared" si="100"/>
        <v>1.1220344055159044</v>
      </c>
      <c r="AC303" s="10">
        <f t="shared" si="100"/>
        <v>1.1206039812365609</v>
      </c>
      <c r="AD303" s="10">
        <f t="shared" si="100"/>
        <v>1.1191735569572181</v>
      </c>
      <c r="AE303" s="10">
        <f t="shared" si="100"/>
        <v>1.1166217167204153</v>
      </c>
      <c r="AF303" s="10">
        <f t="shared" si="100"/>
        <v>1.1140698764836121</v>
      </c>
      <c r="AG303" s="10">
        <f t="shared" si="100"/>
        <v>1.1115180362468091</v>
      </c>
      <c r="AH303" s="10">
        <f t="shared" si="100"/>
        <v>1.1089661960100061</v>
      </c>
      <c r="AI303" s="10">
        <f t="shared" si="100"/>
        <v>1.1064143557732031</v>
      </c>
      <c r="AJ303" s="10">
        <f t="shared" si="100"/>
        <v>1.1038625155364001</v>
      </c>
      <c r="AK303" s="10">
        <f t="shared" si="100"/>
        <v>1.1013106752995974</v>
      </c>
      <c r="AL303" s="10">
        <f t="shared" si="100"/>
        <v>1.0987588350627941</v>
      </c>
      <c r="AM303" s="10">
        <f t="shared" si="100"/>
        <v>1.0962069948259912</v>
      </c>
      <c r="AN303" s="10">
        <f t="shared" si="100"/>
        <v>1.0936551545891882</v>
      </c>
      <c r="AO303" s="10">
        <f t="shared" si="100"/>
        <v>1.0911033143523852</v>
      </c>
      <c r="AP303" s="10">
        <f t="shared" si="100"/>
        <v>1.0885514741155822</v>
      </c>
      <c r="AQ303" s="10">
        <f t="shared" si="100"/>
        <v>1.0859996338787792</v>
      </c>
      <c r="AR303" s="10">
        <f t="shared" si="100"/>
        <v>1.0834477936419762</v>
      </c>
      <c r="AS303" s="10">
        <f t="shared" si="100"/>
        <v>1.0808959534051732</v>
      </c>
      <c r="AT303" s="10">
        <f t="shared" si="100"/>
        <v>1.0783441131683702</v>
      </c>
      <c r="AU303" s="10">
        <f t="shared" si="100"/>
        <v>1.0757922729315672</v>
      </c>
      <c r="AV303" s="10">
        <f t="shared" si="100"/>
        <v>1.0732404326947642</v>
      </c>
      <c r="AW303" s="10">
        <f t="shared" si="100"/>
        <v>1.0706885924579612</v>
      </c>
      <c r="AX303" s="10">
        <f t="shared" si="100"/>
        <v>1.0681367522211596</v>
      </c>
      <c r="AY303" s="10">
        <f t="shared" si="100"/>
        <v>1.0681367522211596</v>
      </c>
      <c r="AZ303" s="10">
        <f t="shared" si="100"/>
        <v>1.0681367522211596</v>
      </c>
      <c r="BA303" s="10">
        <f t="shared" si="100"/>
        <v>1.0681367522211596</v>
      </c>
      <c r="BB303" s="10">
        <f t="shared" si="100"/>
        <v>1.0681367522211596</v>
      </c>
      <c r="BC303" s="10">
        <f t="shared" si="100"/>
        <v>1.0681367522211596</v>
      </c>
      <c r="BD303" s="10">
        <f t="shared" si="100"/>
        <v>1.0681367522211596</v>
      </c>
      <c r="BE303" s="10">
        <f t="shared" si="100"/>
        <v>1.0681367522211596</v>
      </c>
      <c r="BF303" s="10">
        <f t="shared" si="100"/>
        <v>1.0681367522211596</v>
      </c>
      <c r="BG303" s="10">
        <f t="shared" si="100"/>
        <v>1.0681367522211596</v>
      </c>
      <c r="BH303" s="10">
        <f t="shared" si="100"/>
        <v>1.0681367522211596</v>
      </c>
      <c r="BI303" s="10">
        <f t="shared" si="100"/>
        <v>1.0681367522211596</v>
      </c>
    </row>
    <row r="304" spans="1:61" s="454" customFormat="1">
      <c r="A304" s="8" t="str">
        <f t="shared" si="96"/>
        <v>Prędkość 41-50 km/h</v>
      </c>
      <c r="B304" s="129" t="s">
        <v>42</v>
      </c>
      <c r="C304" s="13"/>
      <c r="D304" s="13"/>
      <c r="E304" s="13"/>
      <c r="F304" s="13"/>
      <c r="G304" s="13"/>
      <c r="H304" s="13"/>
      <c r="I304" s="13"/>
      <c r="J304" s="13"/>
      <c r="K304" s="13"/>
      <c r="L304" s="13"/>
      <c r="M304" s="13"/>
      <c r="N304" s="13"/>
      <c r="O304" s="13"/>
      <c r="P304" s="13"/>
      <c r="Q304" s="93"/>
      <c r="R304" s="93"/>
      <c r="S304" s="93"/>
      <c r="T304" s="10">
        <f t="shared" ref="T304:BI304" si="101">($T177*$T$205*T$215)*U$50+T$286*U$53</f>
        <v>1.0076003273740135</v>
      </c>
      <c r="U304" s="10">
        <f t="shared" si="101"/>
        <v>1.0407592266069761</v>
      </c>
      <c r="V304" s="10">
        <f t="shared" si="101"/>
        <v>1.0926823601593922</v>
      </c>
      <c r="W304" s="10">
        <f t="shared" si="101"/>
        <v>1.0915267731548528</v>
      </c>
      <c r="X304" s="10">
        <f t="shared" si="101"/>
        <v>1.0903711861503136</v>
      </c>
      <c r="Y304" s="10">
        <f t="shared" si="101"/>
        <v>1.0892155991457744</v>
      </c>
      <c r="Z304" s="10">
        <f t="shared" si="101"/>
        <v>1.0880600121412349</v>
      </c>
      <c r="AA304" s="10">
        <f t="shared" si="101"/>
        <v>1.0869044251366955</v>
      </c>
      <c r="AB304" s="10">
        <f t="shared" si="101"/>
        <v>1.0857488381321563</v>
      </c>
      <c r="AC304" s="10">
        <f t="shared" si="101"/>
        <v>1.0845932511276168</v>
      </c>
      <c r="AD304" s="10">
        <f t="shared" si="101"/>
        <v>1.0834376641230781</v>
      </c>
      <c r="AE304" s="10">
        <f t="shared" si="101"/>
        <v>1.081376126537416</v>
      </c>
      <c r="AF304" s="10">
        <f t="shared" si="101"/>
        <v>1.0793145889517537</v>
      </c>
      <c r="AG304" s="10">
        <f t="shared" si="101"/>
        <v>1.0772530513660916</v>
      </c>
      <c r="AH304" s="10">
        <f t="shared" si="101"/>
        <v>1.0751915137804295</v>
      </c>
      <c r="AI304" s="10">
        <f t="shared" si="101"/>
        <v>1.0731299761947675</v>
      </c>
      <c r="AJ304" s="10">
        <f t="shared" si="101"/>
        <v>1.0710684386091054</v>
      </c>
      <c r="AK304" s="10">
        <f t="shared" si="101"/>
        <v>1.0690069010234433</v>
      </c>
      <c r="AL304" s="10">
        <f t="shared" si="101"/>
        <v>1.066945363437781</v>
      </c>
      <c r="AM304" s="10">
        <f t="shared" si="101"/>
        <v>1.0648838258521189</v>
      </c>
      <c r="AN304" s="10">
        <f t="shared" si="101"/>
        <v>1.0628222882664569</v>
      </c>
      <c r="AO304" s="10">
        <f t="shared" si="101"/>
        <v>1.0607607506807946</v>
      </c>
      <c r="AP304" s="10">
        <f t="shared" si="101"/>
        <v>1.0586992130951325</v>
      </c>
      <c r="AQ304" s="10">
        <f t="shared" si="101"/>
        <v>1.0566376755094704</v>
      </c>
      <c r="AR304" s="10">
        <f t="shared" si="101"/>
        <v>1.0545761379238081</v>
      </c>
      <c r="AS304" s="10">
        <f t="shared" si="101"/>
        <v>1.052514600338146</v>
      </c>
      <c r="AT304" s="10">
        <f t="shared" si="101"/>
        <v>1.050453062752484</v>
      </c>
      <c r="AU304" s="10">
        <f t="shared" si="101"/>
        <v>1.0483915251668217</v>
      </c>
      <c r="AV304" s="10">
        <f t="shared" si="101"/>
        <v>1.0463299875811596</v>
      </c>
      <c r="AW304" s="10">
        <f t="shared" si="101"/>
        <v>1.0442684499954975</v>
      </c>
      <c r="AX304" s="10">
        <f t="shared" si="101"/>
        <v>1.0422069124098368</v>
      </c>
      <c r="AY304" s="10">
        <f t="shared" si="101"/>
        <v>1.0422069124098368</v>
      </c>
      <c r="AZ304" s="10">
        <f t="shared" si="101"/>
        <v>1.0422069124098368</v>
      </c>
      <c r="BA304" s="10">
        <f t="shared" si="101"/>
        <v>1.0422069124098368</v>
      </c>
      <c r="BB304" s="10">
        <f t="shared" si="101"/>
        <v>1.0422069124098368</v>
      </c>
      <c r="BC304" s="10">
        <f t="shared" si="101"/>
        <v>1.0422069124098368</v>
      </c>
      <c r="BD304" s="10">
        <f t="shared" si="101"/>
        <v>1.0422069124098368</v>
      </c>
      <c r="BE304" s="10">
        <f t="shared" si="101"/>
        <v>1.0422069124098368</v>
      </c>
      <c r="BF304" s="10">
        <f t="shared" si="101"/>
        <v>1.0422069124098368</v>
      </c>
      <c r="BG304" s="10">
        <f t="shared" si="101"/>
        <v>1.0422069124098368</v>
      </c>
      <c r="BH304" s="10">
        <f t="shared" si="101"/>
        <v>1.0422069124098368</v>
      </c>
      <c r="BI304" s="10">
        <f t="shared" si="101"/>
        <v>1.0422069124098368</v>
      </c>
    </row>
    <row r="305" spans="1:61" s="454" customFormat="1">
      <c r="A305" s="8" t="str">
        <f t="shared" si="96"/>
        <v>Prędkość 51-60 km/h</v>
      </c>
      <c r="B305" s="129" t="s">
        <v>42</v>
      </c>
      <c r="C305" s="13"/>
      <c r="D305" s="13"/>
      <c r="E305" s="13"/>
      <c r="F305" s="13"/>
      <c r="G305" s="13"/>
      <c r="H305" s="13"/>
      <c r="I305" s="13"/>
      <c r="J305" s="13"/>
      <c r="K305" s="13"/>
      <c r="L305" s="13"/>
      <c r="M305" s="13"/>
      <c r="N305" s="13"/>
      <c r="O305" s="13"/>
      <c r="P305" s="13"/>
      <c r="Q305" s="93"/>
      <c r="R305" s="93"/>
      <c r="S305" s="93"/>
      <c r="T305" s="10">
        <f t="shared" ref="T305:BI305" si="102">($T178*$T$205*T$215)*U$50+T$286*U$53</f>
        <v>0.98395245074446303</v>
      </c>
      <c r="U305" s="10">
        <f t="shared" si="102"/>
        <v>1.0164819466497654</v>
      </c>
      <c r="V305" s="10">
        <f t="shared" si="102"/>
        <v>1.0673504692504736</v>
      </c>
      <c r="W305" s="10">
        <f t="shared" si="102"/>
        <v>1.0663784125720437</v>
      </c>
      <c r="X305" s="10">
        <f t="shared" si="102"/>
        <v>1.065406355893614</v>
      </c>
      <c r="Y305" s="10">
        <f t="shared" si="102"/>
        <v>1.0644342992151843</v>
      </c>
      <c r="Z305" s="10">
        <f t="shared" si="102"/>
        <v>1.0634622425367546</v>
      </c>
      <c r="AA305" s="10">
        <f t="shared" si="102"/>
        <v>1.0624901858583247</v>
      </c>
      <c r="AB305" s="10">
        <f t="shared" si="102"/>
        <v>1.061518129179895</v>
      </c>
      <c r="AC305" s="10">
        <f t="shared" si="102"/>
        <v>1.060546072501465</v>
      </c>
      <c r="AD305" s="10">
        <f t="shared" si="102"/>
        <v>1.059574015823036</v>
      </c>
      <c r="AE305" s="10">
        <f t="shared" si="102"/>
        <v>1.0578398916332477</v>
      </c>
      <c r="AF305" s="10">
        <f t="shared" si="102"/>
        <v>1.0561057674434591</v>
      </c>
      <c r="AG305" s="10">
        <f t="shared" si="102"/>
        <v>1.0543716432536705</v>
      </c>
      <c r="AH305" s="10">
        <f t="shared" si="102"/>
        <v>1.0526375190638821</v>
      </c>
      <c r="AI305" s="10">
        <f t="shared" si="102"/>
        <v>1.0509033948740938</v>
      </c>
      <c r="AJ305" s="10">
        <f t="shared" si="102"/>
        <v>1.0491692706843052</v>
      </c>
      <c r="AK305" s="10">
        <f t="shared" si="102"/>
        <v>1.0474351464945169</v>
      </c>
      <c r="AL305" s="10">
        <f t="shared" si="102"/>
        <v>1.0457010223047283</v>
      </c>
      <c r="AM305" s="10">
        <f t="shared" si="102"/>
        <v>1.0439668981149399</v>
      </c>
      <c r="AN305" s="10">
        <f t="shared" si="102"/>
        <v>1.0422327739251516</v>
      </c>
      <c r="AO305" s="10">
        <f t="shared" si="102"/>
        <v>1.040498649735363</v>
      </c>
      <c r="AP305" s="10">
        <f t="shared" si="102"/>
        <v>1.0387645255455746</v>
      </c>
      <c r="AQ305" s="10">
        <f t="shared" si="102"/>
        <v>1.0370304013557861</v>
      </c>
      <c r="AR305" s="10">
        <f t="shared" si="102"/>
        <v>1.0352962771659977</v>
      </c>
      <c r="AS305" s="10">
        <f t="shared" si="102"/>
        <v>1.0335621529762091</v>
      </c>
      <c r="AT305" s="10">
        <f t="shared" si="102"/>
        <v>1.0318280287864208</v>
      </c>
      <c r="AU305" s="10">
        <f t="shared" si="102"/>
        <v>1.0300939045966322</v>
      </c>
      <c r="AV305" s="10">
        <f t="shared" si="102"/>
        <v>1.0283597804068438</v>
      </c>
      <c r="AW305" s="10">
        <f t="shared" si="102"/>
        <v>1.0266256562170553</v>
      </c>
      <c r="AX305" s="10">
        <f t="shared" si="102"/>
        <v>1.0248915320272682</v>
      </c>
      <c r="AY305" s="10">
        <f t="shared" si="102"/>
        <v>1.0248915320272682</v>
      </c>
      <c r="AZ305" s="10">
        <f t="shared" si="102"/>
        <v>1.0248915320272682</v>
      </c>
      <c r="BA305" s="10">
        <f t="shared" si="102"/>
        <v>1.0248915320272682</v>
      </c>
      <c r="BB305" s="10">
        <f t="shared" si="102"/>
        <v>1.0248915320272682</v>
      </c>
      <c r="BC305" s="10">
        <f t="shared" si="102"/>
        <v>1.0248915320272682</v>
      </c>
      <c r="BD305" s="10">
        <f t="shared" si="102"/>
        <v>1.0248915320272682</v>
      </c>
      <c r="BE305" s="10">
        <f t="shared" si="102"/>
        <v>1.0248915320272682</v>
      </c>
      <c r="BF305" s="10">
        <f t="shared" si="102"/>
        <v>1.0248915320272682</v>
      </c>
      <c r="BG305" s="10">
        <f t="shared" si="102"/>
        <v>1.0248915320272682</v>
      </c>
      <c r="BH305" s="10">
        <f t="shared" si="102"/>
        <v>1.0248915320272682</v>
      </c>
      <c r="BI305" s="10">
        <f t="shared" si="102"/>
        <v>1.0248915320272682</v>
      </c>
    </row>
    <row r="306" spans="1:61">
      <c r="A306" s="8" t="str">
        <f t="shared" si="96"/>
        <v>Prędkość 61-70 km/h</v>
      </c>
      <c r="B306" s="129" t="s">
        <v>42</v>
      </c>
      <c r="C306" s="13"/>
      <c r="D306" s="13"/>
      <c r="E306" s="13"/>
      <c r="F306" s="13"/>
      <c r="G306" s="13"/>
      <c r="H306" s="13"/>
      <c r="I306" s="13"/>
      <c r="J306" s="13"/>
      <c r="K306" s="13"/>
      <c r="L306" s="13"/>
      <c r="M306" s="13"/>
      <c r="N306" s="13"/>
      <c r="O306" s="13"/>
      <c r="P306" s="13"/>
      <c r="Q306" s="93"/>
      <c r="R306" s="93"/>
      <c r="S306" s="93"/>
      <c r="T306" s="10">
        <f t="shared" ref="T306:BI306" si="103">($T179*$T$205*T$215)*U$50+T$286*U$53</f>
        <v>0.96896273137441802</v>
      </c>
      <c r="U306" s="10">
        <f t="shared" si="103"/>
        <v>1.0010932663328247</v>
      </c>
      <c r="V306" s="10">
        <f t="shared" si="103"/>
        <v>1.0512933009141507</v>
      </c>
      <c r="W306" s="10">
        <f t="shared" si="103"/>
        <v>1.0504375789125027</v>
      </c>
      <c r="X306" s="10">
        <f t="shared" si="103"/>
        <v>1.0495818569108546</v>
      </c>
      <c r="Y306" s="10">
        <f t="shared" si="103"/>
        <v>1.048726134909207</v>
      </c>
      <c r="Z306" s="10">
        <f t="shared" si="103"/>
        <v>1.0478704129075589</v>
      </c>
      <c r="AA306" s="10">
        <f t="shared" si="103"/>
        <v>1.047014690905911</v>
      </c>
      <c r="AB306" s="10">
        <f t="shared" si="103"/>
        <v>1.046158968904263</v>
      </c>
      <c r="AC306" s="10">
        <f t="shared" si="103"/>
        <v>1.0453032469026151</v>
      </c>
      <c r="AD306" s="10">
        <f t="shared" si="103"/>
        <v>1.0444475249009677</v>
      </c>
      <c r="AE306" s="10">
        <f t="shared" si="103"/>
        <v>1.0429209387916176</v>
      </c>
      <c r="AF306" s="10">
        <f t="shared" si="103"/>
        <v>1.0413943526822675</v>
      </c>
      <c r="AG306" s="10">
        <f t="shared" si="103"/>
        <v>1.0398677665729175</v>
      </c>
      <c r="AH306" s="10">
        <f t="shared" si="103"/>
        <v>1.0383411804635674</v>
      </c>
      <c r="AI306" s="10">
        <f t="shared" si="103"/>
        <v>1.0368145943542173</v>
      </c>
      <c r="AJ306" s="10">
        <f t="shared" si="103"/>
        <v>1.0352880082448672</v>
      </c>
      <c r="AK306" s="10">
        <f t="shared" si="103"/>
        <v>1.0337614221355169</v>
      </c>
      <c r="AL306" s="10">
        <f t="shared" si="103"/>
        <v>1.0322348360261668</v>
      </c>
      <c r="AM306" s="10">
        <f t="shared" si="103"/>
        <v>1.0307082499168168</v>
      </c>
      <c r="AN306" s="10">
        <f t="shared" si="103"/>
        <v>1.0291816638074667</v>
      </c>
      <c r="AO306" s="10">
        <f t="shared" si="103"/>
        <v>1.0276550776981166</v>
      </c>
      <c r="AP306" s="10">
        <f t="shared" si="103"/>
        <v>1.0261284915887665</v>
      </c>
      <c r="AQ306" s="10">
        <f t="shared" si="103"/>
        <v>1.0246019054794164</v>
      </c>
      <c r="AR306" s="10">
        <f t="shared" si="103"/>
        <v>1.0230753193700663</v>
      </c>
      <c r="AS306" s="10">
        <f t="shared" si="103"/>
        <v>1.0215487332607163</v>
      </c>
      <c r="AT306" s="10">
        <f t="shared" si="103"/>
        <v>1.0200221471513662</v>
      </c>
      <c r="AU306" s="10">
        <f t="shared" si="103"/>
        <v>1.0184955610420161</v>
      </c>
      <c r="AV306" s="10">
        <f t="shared" si="103"/>
        <v>1.016968974932666</v>
      </c>
      <c r="AW306" s="10">
        <f t="shared" si="103"/>
        <v>1.0154423888233159</v>
      </c>
      <c r="AX306" s="10">
        <f t="shared" si="103"/>
        <v>1.013915802713967</v>
      </c>
      <c r="AY306" s="10">
        <f t="shared" si="103"/>
        <v>1.013915802713967</v>
      </c>
      <c r="AZ306" s="10">
        <f t="shared" si="103"/>
        <v>1.013915802713967</v>
      </c>
      <c r="BA306" s="10">
        <f t="shared" si="103"/>
        <v>1.013915802713967</v>
      </c>
      <c r="BB306" s="10">
        <f t="shared" si="103"/>
        <v>1.013915802713967</v>
      </c>
      <c r="BC306" s="10">
        <f t="shared" si="103"/>
        <v>1.013915802713967</v>
      </c>
      <c r="BD306" s="10">
        <f t="shared" si="103"/>
        <v>1.013915802713967</v>
      </c>
      <c r="BE306" s="10">
        <f t="shared" si="103"/>
        <v>1.013915802713967</v>
      </c>
      <c r="BF306" s="10">
        <f t="shared" si="103"/>
        <v>1.013915802713967</v>
      </c>
      <c r="BG306" s="10">
        <f t="shared" si="103"/>
        <v>1.013915802713967</v>
      </c>
      <c r="BH306" s="10">
        <f t="shared" si="103"/>
        <v>1.013915802713967</v>
      </c>
      <c r="BI306" s="10">
        <f t="shared" si="103"/>
        <v>1.013915802713967</v>
      </c>
    </row>
    <row r="307" spans="1:61" s="454" customFormat="1">
      <c r="A307" s="8" t="str">
        <f t="shared" si="96"/>
        <v>Prędkość 71-80 km/h</v>
      </c>
      <c r="B307" s="129" t="s">
        <v>42</v>
      </c>
      <c r="C307" s="13"/>
      <c r="D307" s="13"/>
      <c r="E307" s="13"/>
      <c r="F307" s="13"/>
      <c r="G307" s="13"/>
      <c r="H307" s="13"/>
      <c r="I307" s="13"/>
      <c r="J307" s="13"/>
      <c r="K307" s="13"/>
      <c r="L307" s="13"/>
      <c r="M307" s="13"/>
      <c r="N307" s="13"/>
      <c r="O307" s="13"/>
      <c r="P307" s="13"/>
      <c r="Q307" s="93"/>
      <c r="R307" s="93"/>
      <c r="S307" s="93"/>
      <c r="T307" s="10">
        <f t="shared" ref="T307:BI307" si="104">($T180*$T$205*T$215)*U$50+T$286*U$53</f>
        <v>0.96086823805271104</v>
      </c>
      <c r="U307" s="10">
        <f t="shared" si="104"/>
        <v>0.99278333290576659</v>
      </c>
      <c r="V307" s="10">
        <f t="shared" si="104"/>
        <v>1.0426223819559464</v>
      </c>
      <c r="W307" s="10">
        <f t="shared" si="104"/>
        <v>1.0418294810279318</v>
      </c>
      <c r="X307" s="10">
        <f t="shared" si="104"/>
        <v>1.0410365800999175</v>
      </c>
      <c r="Y307" s="10">
        <f t="shared" si="104"/>
        <v>1.0402436791719034</v>
      </c>
      <c r="Z307" s="10">
        <f t="shared" si="104"/>
        <v>1.0394507782438891</v>
      </c>
      <c r="AA307" s="10">
        <f t="shared" si="104"/>
        <v>1.0386578773158748</v>
      </c>
      <c r="AB307" s="10">
        <f t="shared" si="104"/>
        <v>1.0378649763878605</v>
      </c>
      <c r="AC307" s="10">
        <f t="shared" si="104"/>
        <v>1.0370720754598461</v>
      </c>
      <c r="AD307" s="10">
        <f t="shared" si="104"/>
        <v>1.0362791745318325</v>
      </c>
      <c r="AE307" s="10">
        <f t="shared" si="104"/>
        <v>1.0348646596070481</v>
      </c>
      <c r="AF307" s="10">
        <f t="shared" si="104"/>
        <v>1.0334501446822637</v>
      </c>
      <c r="AG307" s="10">
        <f t="shared" si="104"/>
        <v>1.0320356297574793</v>
      </c>
      <c r="AH307" s="10">
        <f t="shared" si="104"/>
        <v>1.0306211148326949</v>
      </c>
      <c r="AI307" s="10">
        <f t="shared" si="104"/>
        <v>1.0292065999079105</v>
      </c>
      <c r="AJ307" s="10">
        <f t="shared" si="104"/>
        <v>1.0277920849831261</v>
      </c>
      <c r="AK307" s="10">
        <f t="shared" si="104"/>
        <v>1.0263775700583415</v>
      </c>
      <c r="AL307" s="10">
        <f t="shared" si="104"/>
        <v>1.0249630551335571</v>
      </c>
      <c r="AM307" s="10">
        <f t="shared" si="104"/>
        <v>1.0235485402087727</v>
      </c>
      <c r="AN307" s="10">
        <f t="shared" si="104"/>
        <v>1.0221340252839883</v>
      </c>
      <c r="AO307" s="10">
        <f t="shared" si="104"/>
        <v>1.0207195103592039</v>
      </c>
      <c r="AP307" s="10">
        <f t="shared" si="104"/>
        <v>1.0193049954344195</v>
      </c>
      <c r="AQ307" s="10">
        <f t="shared" si="104"/>
        <v>1.0178904805096352</v>
      </c>
      <c r="AR307" s="10">
        <f t="shared" si="104"/>
        <v>1.0164759655848508</v>
      </c>
      <c r="AS307" s="10">
        <f t="shared" si="104"/>
        <v>1.0150614506600664</v>
      </c>
      <c r="AT307" s="10">
        <f t="shared" si="104"/>
        <v>1.0136469357352818</v>
      </c>
      <c r="AU307" s="10">
        <f t="shared" si="104"/>
        <v>1.0122324208104976</v>
      </c>
      <c r="AV307" s="10">
        <f t="shared" si="104"/>
        <v>1.010817905885713</v>
      </c>
      <c r="AW307" s="10">
        <f t="shared" si="104"/>
        <v>1.0094033909609286</v>
      </c>
      <c r="AX307" s="10">
        <f t="shared" si="104"/>
        <v>1.0079888760361455</v>
      </c>
      <c r="AY307" s="10">
        <f t="shared" si="104"/>
        <v>1.0079888760361455</v>
      </c>
      <c r="AZ307" s="10">
        <f t="shared" si="104"/>
        <v>1.0079888760361455</v>
      </c>
      <c r="BA307" s="10">
        <f t="shared" si="104"/>
        <v>1.0079888760361455</v>
      </c>
      <c r="BB307" s="10">
        <f t="shared" si="104"/>
        <v>1.0079888760361455</v>
      </c>
      <c r="BC307" s="10">
        <f t="shared" si="104"/>
        <v>1.0079888760361455</v>
      </c>
      <c r="BD307" s="10">
        <f t="shared" si="104"/>
        <v>1.0079888760361455</v>
      </c>
      <c r="BE307" s="10">
        <f t="shared" si="104"/>
        <v>1.0079888760361455</v>
      </c>
      <c r="BF307" s="10">
        <f t="shared" si="104"/>
        <v>1.0079888760361455</v>
      </c>
      <c r="BG307" s="10">
        <f t="shared" si="104"/>
        <v>1.0079888760361455</v>
      </c>
      <c r="BH307" s="10">
        <f t="shared" si="104"/>
        <v>1.0079888760361455</v>
      </c>
      <c r="BI307" s="10">
        <f t="shared" si="104"/>
        <v>1.0079888760361455</v>
      </c>
    </row>
    <row r="308" spans="1:61" s="454" customFormat="1">
      <c r="A308" s="8" t="str">
        <f t="shared" si="96"/>
        <v>Prędkość 81-90 km/h</v>
      </c>
      <c r="B308" s="129" t="s">
        <v>42</v>
      </c>
      <c r="C308" s="13"/>
      <c r="D308" s="13"/>
      <c r="E308" s="13"/>
      <c r="F308" s="13"/>
      <c r="G308" s="13"/>
      <c r="H308" s="13"/>
      <c r="I308" s="13"/>
      <c r="J308" s="13"/>
      <c r="K308" s="13"/>
      <c r="L308" s="13"/>
      <c r="M308" s="13"/>
      <c r="N308" s="13"/>
      <c r="O308" s="13"/>
      <c r="P308" s="13"/>
      <c r="Q308" s="93"/>
      <c r="R308" s="93"/>
      <c r="S308" s="93"/>
      <c r="T308" s="10">
        <f t="shared" ref="T308:BI308" si="105">($T181*$T$205*T$215)*U$50+T$286*U$53</f>
        <v>0.95855916370352956</v>
      </c>
      <c r="U308" s="10">
        <f t="shared" si="105"/>
        <v>0.99041280106921914</v>
      </c>
      <c r="V308" s="10">
        <f t="shared" si="105"/>
        <v>1.0401488736393072</v>
      </c>
      <c r="W308" s="10">
        <f t="shared" si="105"/>
        <v>1.0393738933548651</v>
      </c>
      <c r="X308" s="10">
        <f t="shared" si="105"/>
        <v>1.0385989130704227</v>
      </c>
      <c r="Y308" s="10">
        <f t="shared" si="105"/>
        <v>1.0378239327859808</v>
      </c>
      <c r="Z308" s="10">
        <f t="shared" si="105"/>
        <v>1.0370489525015387</v>
      </c>
      <c r="AA308" s="10">
        <f t="shared" si="105"/>
        <v>1.0362739722170964</v>
      </c>
      <c r="AB308" s="10">
        <f t="shared" si="105"/>
        <v>1.0354989919326545</v>
      </c>
      <c r="AC308" s="10">
        <f t="shared" si="105"/>
        <v>1.0347240116482121</v>
      </c>
      <c r="AD308" s="10">
        <f t="shared" si="105"/>
        <v>1.0339490313637707</v>
      </c>
      <c r="AE308" s="10">
        <f t="shared" si="105"/>
        <v>1.0325664864076154</v>
      </c>
      <c r="AF308" s="10">
        <f t="shared" si="105"/>
        <v>1.0311839414514599</v>
      </c>
      <c r="AG308" s="10">
        <f t="shared" si="105"/>
        <v>1.0298013964953046</v>
      </c>
      <c r="AH308" s="10">
        <f t="shared" si="105"/>
        <v>1.0284188515391492</v>
      </c>
      <c r="AI308" s="10">
        <f t="shared" si="105"/>
        <v>1.0270363065829939</v>
      </c>
      <c r="AJ308" s="10">
        <f t="shared" si="105"/>
        <v>1.0256537616268386</v>
      </c>
      <c r="AK308" s="10">
        <f t="shared" si="105"/>
        <v>1.0242712166706831</v>
      </c>
      <c r="AL308" s="10">
        <f t="shared" si="105"/>
        <v>1.0228886717145278</v>
      </c>
      <c r="AM308" s="10">
        <f t="shared" si="105"/>
        <v>1.0215061267583725</v>
      </c>
      <c r="AN308" s="10">
        <f t="shared" si="105"/>
        <v>1.020123581802217</v>
      </c>
      <c r="AO308" s="10">
        <f t="shared" si="105"/>
        <v>1.0187410368460617</v>
      </c>
      <c r="AP308" s="10">
        <f t="shared" si="105"/>
        <v>1.0173584918899063</v>
      </c>
      <c r="AQ308" s="10">
        <f t="shared" si="105"/>
        <v>1.0159759469337508</v>
      </c>
      <c r="AR308" s="10">
        <f t="shared" si="105"/>
        <v>1.0145934019775955</v>
      </c>
      <c r="AS308" s="10">
        <f t="shared" si="105"/>
        <v>1.0132108570214402</v>
      </c>
      <c r="AT308" s="10">
        <f t="shared" si="105"/>
        <v>1.0118283120652847</v>
      </c>
      <c r="AU308" s="10">
        <f t="shared" si="105"/>
        <v>1.0104457671091294</v>
      </c>
      <c r="AV308" s="10">
        <f t="shared" si="105"/>
        <v>1.0090632221529741</v>
      </c>
      <c r="AW308" s="10">
        <f t="shared" si="105"/>
        <v>1.0076806771968188</v>
      </c>
      <c r="AX308" s="10">
        <f t="shared" si="105"/>
        <v>1.0062981322406646</v>
      </c>
      <c r="AY308" s="10">
        <f t="shared" si="105"/>
        <v>1.0062981322406646</v>
      </c>
      <c r="AZ308" s="10">
        <f t="shared" si="105"/>
        <v>1.0062981322406646</v>
      </c>
      <c r="BA308" s="10">
        <f t="shared" si="105"/>
        <v>1.0062981322406646</v>
      </c>
      <c r="BB308" s="10">
        <f t="shared" si="105"/>
        <v>1.0062981322406646</v>
      </c>
      <c r="BC308" s="10">
        <f t="shared" si="105"/>
        <v>1.0062981322406646</v>
      </c>
      <c r="BD308" s="10">
        <f t="shared" si="105"/>
        <v>1.0062981322406646</v>
      </c>
      <c r="BE308" s="10">
        <f t="shared" si="105"/>
        <v>1.0062981322406646</v>
      </c>
      <c r="BF308" s="10">
        <f t="shared" si="105"/>
        <v>1.0062981322406646</v>
      </c>
      <c r="BG308" s="10">
        <f t="shared" si="105"/>
        <v>1.0062981322406646</v>
      </c>
      <c r="BH308" s="10">
        <f t="shared" si="105"/>
        <v>1.0062981322406646</v>
      </c>
      <c r="BI308" s="10">
        <f t="shared" si="105"/>
        <v>1.0062981322406646</v>
      </c>
    </row>
    <row r="309" spans="1:61" s="454" customFormat="1">
      <c r="A309" s="8" t="str">
        <f t="shared" si="96"/>
        <v>Prędkość 91-100 km/h</v>
      </c>
      <c r="B309" s="129" t="s">
        <v>42</v>
      </c>
      <c r="C309" s="13"/>
      <c r="D309" s="13"/>
      <c r="E309" s="13"/>
      <c r="F309" s="13"/>
      <c r="G309" s="13"/>
      <c r="H309" s="13"/>
      <c r="I309" s="13"/>
      <c r="J309" s="13"/>
      <c r="K309" s="13"/>
      <c r="L309" s="13"/>
      <c r="M309" s="13"/>
      <c r="N309" s="13"/>
      <c r="O309" s="13"/>
      <c r="P309" s="13"/>
      <c r="Q309" s="93"/>
      <c r="R309" s="93"/>
      <c r="S309" s="93"/>
      <c r="T309" s="10">
        <f t="shared" ref="T309:BI309" si="106">($T182*$T$205*T$215)*U$50+T$286*U$53</f>
        <v>0.96128320948762758</v>
      </c>
      <c r="U309" s="10">
        <f t="shared" si="106"/>
        <v>0.99320934907024216</v>
      </c>
      <c r="V309" s="10">
        <f t="shared" si="106"/>
        <v>1.0430669043663214</v>
      </c>
      <c r="W309" s="10">
        <f t="shared" si="106"/>
        <v>1.0422707828598183</v>
      </c>
      <c r="X309" s="10">
        <f t="shared" si="106"/>
        <v>1.0414746613533152</v>
      </c>
      <c r="Y309" s="10">
        <f t="shared" si="106"/>
        <v>1.0406785398468126</v>
      </c>
      <c r="Z309" s="10">
        <f t="shared" si="106"/>
        <v>1.0398824183403095</v>
      </c>
      <c r="AA309" s="10">
        <f t="shared" si="106"/>
        <v>1.0390862968338064</v>
      </c>
      <c r="AB309" s="10">
        <f t="shared" si="106"/>
        <v>1.0382901753273035</v>
      </c>
      <c r="AC309" s="10">
        <f t="shared" si="106"/>
        <v>1.0374940538208004</v>
      </c>
      <c r="AD309" s="10">
        <f t="shared" si="106"/>
        <v>1.0366979323142982</v>
      </c>
      <c r="AE309" s="10">
        <f t="shared" si="106"/>
        <v>1.0352776719600689</v>
      </c>
      <c r="AF309" s="10">
        <f t="shared" si="106"/>
        <v>1.0338574116058394</v>
      </c>
      <c r="AG309" s="10">
        <f t="shared" si="106"/>
        <v>1.0324371512516102</v>
      </c>
      <c r="AH309" s="10">
        <f t="shared" si="106"/>
        <v>1.0310168908973809</v>
      </c>
      <c r="AI309" s="10">
        <f t="shared" si="106"/>
        <v>1.0295966305431516</v>
      </c>
      <c r="AJ309" s="10">
        <f t="shared" si="106"/>
        <v>1.0281763701889224</v>
      </c>
      <c r="AK309" s="10">
        <f t="shared" si="106"/>
        <v>1.0267561098346931</v>
      </c>
      <c r="AL309" s="10">
        <f t="shared" si="106"/>
        <v>1.0253358494804636</v>
      </c>
      <c r="AM309" s="10">
        <f t="shared" si="106"/>
        <v>1.0239155891262344</v>
      </c>
      <c r="AN309" s="10">
        <f t="shared" si="106"/>
        <v>1.0224953287720051</v>
      </c>
      <c r="AO309" s="10">
        <f t="shared" si="106"/>
        <v>1.0210750684177758</v>
      </c>
      <c r="AP309" s="10">
        <f t="shared" si="106"/>
        <v>1.0196548080635464</v>
      </c>
      <c r="AQ309" s="10">
        <f t="shared" si="106"/>
        <v>1.0182345477093171</v>
      </c>
      <c r="AR309" s="10">
        <f t="shared" si="106"/>
        <v>1.0168142873550878</v>
      </c>
      <c r="AS309" s="10">
        <f t="shared" si="106"/>
        <v>1.0153940270008586</v>
      </c>
      <c r="AT309" s="10">
        <f t="shared" si="106"/>
        <v>1.0139737666466293</v>
      </c>
      <c r="AU309" s="10">
        <f t="shared" si="106"/>
        <v>1.0125535062924</v>
      </c>
      <c r="AV309" s="10">
        <f t="shared" si="106"/>
        <v>1.0111332459381706</v>
      </c>
      <c r="AW309" s="10">
        <f t="shared" si="106"/>
        <v>1.0097129855839413</v>
      </c>
      <c r="AX309" s="10">
        <f t="shared" si="106"/>
        <v>1.0082927252297131</v>
      </c>
      <c r="AY309" s="10">
        <f t="shared" si="106"/>
        <v>1.0082927252297131</v>
      </c>
      <c r="AZ309" s="10">
        <f t="shared" si="106"/>
        <v>1.0082927252297131</v>
      </c>
      <c r="BA309" s="10">
        <f t="shared" si="106"/>
        <v>1.0082927252297131</v>
      </c>
      <c r="BB309" s="10">
        <f t="shared" si="106"/>
        <v>1.0082927252297131</v>
      </c>
      <c r="BC309" s="10">
        <f t="shared" si="106"/>
        <v>1.0082927252297131</v>
      </c>
      <c r="BD309" s="10">
        <f t="shared" si="106"/>
        <v>1.0082927252297131</v>
      </c>
      <c r="BE309" s="10">
        <f t="shared" si="106"/>
        <v>1.0082927252297131</v>
      </c>
      <c r="BF309" s="10">
        <f t="shared" si="106"/>
        <v>1.0082927252297131</v>
      </c>
      <c r="BG309" s="10">
        <f t="shared" si="106"/>
        <v>1.0082927252297131</v>
      </c>
      <c r="BH309" s="10">
        <f t="shared" si="106"/>
        <v>1.0082927252297131</v>
      </c>
      <c r="BI309" s="10">
        <f t="shared" si="106"/>
        <v>1.0082927252297131</v>
      </c>
    </row>
    <row r="310" spans="1:61" s="454" customFormat="1">
      <c r="A310" s="8" t="str">
        <f t="shared" si="96"/>
        <v>Prędkość 101-110 km/h</v>
      </c>
      <c r="B310" s="129" t="s">
        <v>42</v>
      </c>
      <c r="C310" s="13"/>
      <c r="D310" s="13"/>
      <c r="E310" s="13"/>
      <c r="F310" s="13"/>
      <c r="G310" s="13"/>
      <c r="H310" s="13"/>
      <c r="I310" s="13"/>
      <c r="J310" s="13"/>
      <c r="K310" s="13"/>
      <c r="L310" s="13"/>
      <c r="M310" s="13"/>
      <c r="N310" s="13"/>
      <c r="O310" s="13"/>
      <c r="P310" s="13"/>
      <c r="Q310" s="93"/>
      <c r="R310" s="93"/>
      <c r="S310" s="93"/>
      <c r="T310" s="10">
        <f t="shared" ref="T310:BI310" si="107">($T183*$T$205*T$215)*U$50+T$286*U$53</f>
        <v>0.96850133454451381</v>
      </c>
      <c r="U310" s="10">
        <f t="shared" si="107"/>
        <v>1.000619589131847</v>
      </c>
      <c r="V310" s="10">
        <f t="shared" si="107"/>
        <v>1.0507990470602446</v>
      </c>
      <c r="W310" s="10">
        <f t="shared" si="107"/>
        <v>1.0499469059429181</v>
      </c>
      <c r="X310" s="10">
        <f t="shared" si="107"/>
        <v>1.0490947648255915</v>
      </c>
      <c r="Y310" s="10">
        <f t="shared" si="107"/>
        <v>1.0482426237082652</v>
      </c>
      <c r="Z310" s="10">
        <f t="shared" si="107"/>
        <v>1.0473904825909386</v>
      </c>
      <c r="AA310" s="10">
        <f t="shared" si="107"/>
        <v>1.046538341473612</v>
      </c>
      <c r="AB310" s="10">
        <f t="shared" si="107"/>
        <v>1.0456862003562857</v>
      </c>
      <c r="AC310" s="10">
        <f t="shared" si="107"/>
        <v>1.0448340592389591</v>
      </c>
      <c r="AD310" s="10">
        <f t="shared" si="107"/>
        <v>1.0439819181216332</v>
      </c>
      <c r="AE310" s="10">
        <f t="shared" si="107"/>
        <v>1.042461720218095</v>
      </c>
      <c r="AF310" s="10">
        <f t="shared" si="107"/>
        <v>1.0409415223145568</v>
      </c>
      <c r="AG310" s="10">
        <f t="shared" si="107"/>
        <v>1.0394213244110186</v>
      </c>
      <c r="AH310" s="10">
        <f t="shared" si="107"/>
        <v>1.0379011265074805</v>
      </c>
      <c r="AI310" s="10">
        <f t="shared" si="107"/>
        <v>1.0363809286039423</v>
      </c>
      <c r="AJ310" s="10">
        <f t="shared" si="107"/>
        <v>1.0348607307004041</v>
      </c>
      <c r="AK310" s="10">
        <f t="shared" si="107"/>
        <v>1.0333405327968659</v>
      </c>
      <c r="AL310" s="10">
        <f t="shared" si="107"/>
        <v>1.0318203348933277</v>
      </c>
      <c r="AM310" s="10">
        <f t="shared" si="107"/>
        <v>1.0303001369897895</v>
      </c>
      <c r="AN310" s="10">
        <f t="shared" si="107"/>
        <v>1.0287799390862513</v>
      </c>
      <c r="AO310" s="10">
        <f t="shared" si="107"/>
        <v>1.0272597411827131</v>
      </c>
      <c r="AP310" s="10">
        <f t="shared" si="107"/>
        <v>1.0257395432791749</v>
      </c>
      <c r="AQ310" s="10">
        <f t="shared" si="107"/>
        <v>1.0242193453756367</v>
      </c>
      <c r="AR310" s="10">
        <f t="shared" si="107"/>
        <v>1.0226991474720986</v>
      </c>
      <c r="AS310" s="10">
        <f t="shared" si="107"/>
        <v>1.0211789495685604</v>
      </c>
      <c r="AT310" s="10">
        <f t="shared" si="107"/>
        <v>1.0196587516650222</v>
      </c>
      <c r="AU310" s="10">
        <f t="shared" si="107"/>
        <v>1.018138553761484</v>
      </c>
      <c r="AV310" s="10">
        <f t="shared" si="107"/>
        <v>1.0166183558579458</v>
      </c>
      <c r="AW310" s="10">
        <f t="shared" si="107"/>
        <v>1.0150981579544076</v>
      </c>
      <c r="AX310" s="10">
        <f t="shared" si="107"/>
        <v>1.0135779600508705</v>
      </c>
      <c r="AY310" s="10">
        <f t="shared" si="107"/>
        <v>1.0135779600508705</v>
      </c>
      <c r="AZ310" s="10">
        <f t="shared" si="107"/>
        <v>1.0135779600508705</v>
      </c>
      <c r="BA310" s="10">
        <f t="shared" si="107"/>
        <v>1.0135779600508705</v>
      </c>
      <c r="BB310" s="10">
        <f t="shared" si="107"/>
        <v>1.0135779600508705</v>
      </c>
      <c r="BC310" s="10">
        <f t="shared" si="107"/>
        <v>1.0135779600508705</v>
      </c>
      <c r="BD310" s="10">
        <f t="shared" si="107"/>
        <v>1.0135779600508705</v>
      </c>
      <c r="BE310" s="10">
        <f t="shared" si="107"/>
        <v>1.0135779600508705</v>
      </c>
      <c r="BF310" s="10">
        <f t="shared" si="107"/>
        <v>1.0135779600508705</v>
      </c>
      <c r="BG310" s="10">
        <f t="shared" si="107"/>
        <v>1.0135779600508705</v>
      </c>
      <c r="BH310" s="10">
        <f t="shared" si="107"/>
        <v>1.0135779600508705</v>
      </c>
      <c r="BI310" s="10">
        <f t="shared" si="107"/>
        <v>1.0135779600508705</v>
      </c>
    </row>
    <row r="311" spans="1:61" s="454" customFormat="1">
      <c r="A311" s="8" t="str">
        <f t="shared" si="96"/>
        <v>Prędkość 111-120 km/h</v>
      </c>
      <c r="B311" s="129" t="s">
        <v>42</v>
      </c>
      <c r="C311" s="13"/>
      <c r="D311" s="13"/>
      <c r="E311" s="13"/>
      <c r="F311" s="13"/>
      <c r="G311" s="13"/>
      <c r="H311" s="13"/>
      <c r="I311" s="13"/>
      <c r="J311" s="13"/>
      <c r="K311" s="13"/>
      <c r="L311" s="13"/>
      <c r="M311" s="13"/>
      <c r="N311" s="13"/>
      <c r="O311" s="13"/>
      <c r="P311" s="13"/>
      <c r="Q311" s="93"/>
      <c r="R311" s="93"/>
      <c r="S311" s="93"/>
      <c r="T311" s="10">
        <f t="shared" ref="T311:BI311" si="108">($T184*$T$205*T$215)*U$50+T$286*U$53</f>
        <v>0.97981029308481604</v>
      </c>
      <c r="U311" s="10">
        <f t="shared" si="108"/>
        <v>1.0122295428206414</v>
      </c>
      <c r="V311" s="10">
        <f t="shared" si="108"/>
        <v>1.0629133399637536</v>
      </c>
      <c r="W311" s="10">
        <f t="shared" si="108"/>
        <v>1.0619734304230133</v>
      </c>
      <c r="X311" s="10">
        <f t="shared" si="108"/>
        <v>1.0610335208822728</v>
      </c>
      <c r="Y311" s="10">
        <f t="shared" si="108"/>
        <v>1.0600936113415325</v>
      </c>
      <c r="Z311" s="10">
        <f t="shared" si="108"/>
        <v>1.0591537018007922</v>
      </c>
      <c r="AA311" s="10">
        <f t="shared" si="108"/>
        <v>1.0582137922600516</v>
      </c>
      <c r="AB311" s="10">
        <f t="shared" si="108"/>
        <v>1.0572738827193113</v>
      </c>
      <c r="AC311" s="10">
        <f t="shared" si="108"/>
        <v>1.056333973178571</v>
      </c>
      <c r="AD311" s="10">
        <f t="shared" si="108"/>
        <v>1.0553940636378312</v>
      </c>
      <c r="AE311" s="10">
        <f t="shared" si="108"/>
        <v>1.0537172891173952</v>
      </c>
      <c r="AF311" s="10">
        <f t="shared" si="108"/>
        <v>1.0520405145969589</v>
      </c>
      <c r="AG311" s="10">
        <f t="shared" si="108"/>
        <v>1.0503637400765229</v>
      </c>
      <c r="AH311" s="10">
        <f t="shared" si="108"/>
        <v>1.0486869655560866</v>
      </c>
      <c r="AI311" s="10">
        <f t="shared" si="108"/>
        <v>1.0470101910356506</v>
      </c>
      <c r="AJ311" s="10">
        <f t="shared" si="108"/>
        <v>1.0453334165152146</v>
      </c>
      <c r="AK311" s="10">
        <f t="shared" si="108"/>
        <v>1.0436566419947784</v>
      </c>
      <c r="AL311" s="10">
        <f t="shared" si="108"/>
        <v>1.0419798674743421</v>
      </c>
      <c r="AM311" s="10">
        <f t="shared" si="108"/>
        <v>1.0403030929539061</v>
      </c>
      <c r="AN311" s="10">
        <f t="shared" si="108"/>
        <v>1.0386263184334699</v>
      </c>
      <c r="AO311" s="10">
        <f t="shared" si="108"/>
        <v>1.0369495439130338</v>
      </c>
      <c r="AP311" s="10">
        <f t="shared" si="108"/>
        <v>1.0352727693925976</v>
      </c>
      <c r="AQ311" s="10">
        <f t="shared" si="108"/>
        <v>1.0335959948721616</v>
      </c>
      <c r="AR311" s="10">
        <f t="shared" si="108"/>
        <v>1.0319192203517253</v>
      </c>
      <c r="AS311" s="10">
        <f t="shared" si="108"/>
        <v>1.0302424458312893</v>
      </c>
      <c r="AT311" s="10">
        <f t="shared" si="108"/>
        <v>1.0285656713108531</v>
      </c>
      <c r="AU311" s="10">
        <f t="shared" si="108"/>
        <v>1.0268888967904171</v>
      </c>
      <c r="AV311" s="10">
        <f t="shared" si="108"/>
        <v>1.0252121222699808</v>
      </c>
      <c r="AW311" s="10">
        <f t="shared" si="108"/>
        <v>1.0235353477495448</v>
      </c>
      <c r="AX311" s="10">
        <f t="shared" si="108"/>
        <v>1.0218585732291099</v>
      </c>
      <c r="AY311" s="10">
        <f t="shared" si="108"/>
        <v>1.0218585732291099</v>
      </c>
      <c r="AZ311" s="10">
        <f t="shared" si="108"/>
        <v>1.0218585732291099</v>
      </c>
      <c r="BA311" s="10">
        <f t="shared" si="108"/>
        <v>1.0218585732291099</v>
      </c>
      <c r="BB311" s="10">
        <f t="shared" si="108"/>
        <v>1.0218585732291099</v>
      </c>
      <c r="BC311" s="10">
        <f t="shared" si="108"/>
        <v>1.0218585732291099</v>
      </c>
      <c r="BD311" s="10">
        <f t="shared" si="108"/>
        <v>1.0218585732291099</v>
      </c>
      <c r="BE311" s="10">
        <f t="shared" si="108"/>
        <v>1.0218585732291099</v>
      </c>
      <c r="BF311" s="10">
        <f t="shared" si="108"/>
        <v>1.0218585732291099</v>
      </c>
      <c r="BG311" s="10">
        <f t="shared" si="108"/>
        <v>1.0218585732291099</v>
      </c>
      <c r="BH311" s="10">
        <f t="shared" si="108"/>
        <v>1.0218585732291099</v>
      </c>
      <c r="BI311" s="10">
        <f t="shared" si="108"/>
        <v>1.0218585732291099</v>
      </c>
    </row>
    <row r="312" spans="1:61" s="454" customFormat="1">
      <c r="A312" s="8" t="str">
        <f t="shared" si="96"/>
        <v>Prędkość 121-130 km/h</v>
      </c>
      <c r="B312" s="129" t="s">
        <v>42</v>
      </c>
      <c r="C312" s="13"/>
      <c r="D312" s="13"/>
      <c r="E312" s="13"/>
      <c r="F312" s="13"/>
      <c r="G312" s="13"/>
      <c r="H312" s="13"/>
      <c r="I312" s="13"/>
      <c r="J312" s="13"/>
      <c r="K312" s="13"/>
      <c r="L312" s="13"/>
      <c r="M312" s="13"/>
      <c r="N312" s="13"/>
      <c r="O312" s="13"/>
      <c r="P312" s="13"/>
      <c r="Q312" s="93"/>
      <c r="R312" s="93"/>
      <c r="S312" s="93"/>
      <c r="T312" s="10">
        <f t="shared" ref="T312:BI312" si="109">($T185*$T$205*T$215)*U$50+T$286*U$53</f>
        <v>0.99489786926169399</v>
      </c>
      <c r="U312" s="10">
        <f t="shared" si="109"/>
        <v>1.0277186844657773</v>
      </c>
      <c r="V312" s="10">
        <f t="shared" si="109"/>
        <v>1.079075333692826</v>
      </c>
      <c r="W312" s="10">
        <f t="shared" si="109"/>
        <v>1.0780183300121202</v>
      </c>
      <c r="X312" s="10">
        <f t="shared" si="109"/>
        <v>1.0769613263314144</v>
      </c>
      <c r="Y312" s="10">
        <f t="shared" si="109"/>
        <v>1.0759043226507086</v>
      </c>
      <c r="Z312" s="10">
        <f t="shared" si="109"/>
        <v>1.0748473189700027</v>
      </c>
      <c r="AA312" s="10">
        <f t="shared" si="109"/>
        <v>1.0737903152892969</v>
      </c>
      <c r="AB312" s="10">
        <f t="shared" si="109"/>
        <v>1.0727333116085913</v>
      </c>
      <c r="AC312" s="10">
        <f t="shared" si="109"/>
        <v>1.0716763079278855</v>
      </c>
      <c r="AD312" s="10">
        <f t="shared" si="109"/>
        <v>1.0706193042471803</v>
      </c>
      <c r="AE312" s="10">
        <f t="shared" si="109"/>
        <v>1.0687336367834597</v>
      </c>
      <c r="AF312" s="10">
        <f t="shared" si="109"/>
        <v>1.066847969319739</v>
      </c>
      <c r="AG312" s="10">
        <f t="shared" si="109"/>
        <v>1.0649623018560186</v>
      </c>
      <c r="AH312" s="10">
        <f t="shared" si="109"/>
        <v>1.0630766343922979</v>
      </c>
      <c r="AI312" s="10">
        <f t="shared" si="109"/>
        <v>1.0611909669285773</v>
      </c>
      <c r="AJ312" s="10">
        <f t="shared" si="109"/>
        <v>1.0593052994648569</v>
      </c>
      <c r="AK312" s="10">
        <f t="shared" si="109"/>
        <v>1.0574196320011362</v>
      </c>
      <c r="AL312" s="10">
        <f t="shared" si="109"/>
        <v>1.0555339645374155</v>
      </c>
      <c r="AM312" s="10">
        <f t="shared" si="109"/>
        <v>1.0536482970736949</v>
      </c>
      <c r="AN312" s="10">
        <f t="shared" si="109"/>
        <v>1.0517626296099745</v>
      </c>
      <c r="AO312" s="10">
        <f t="shared" si="109"/>
        <v>1.0498769621462538</v>
      </c>
      <c r="AP312" s="10">
        <f t="shared" si="109"/>
        <v>1.0479912946825332</v>
      </c>
      <c r="AQ312" s="10">
        <f t="shared" si="109"/>
        <v>1.0461056272188127</v>
      </c>
      <c r="AR312" s="10">
        <f t="shared" si="109"/>
        <v>1.0442199597550921</v>
      </c>
      <c r="AS312" s="10">
        <f t="shared" si="109"/>
        <v>1.0423342922913714</v>
      </c>
      <c r="AT312" s="10">
        <f t="shared" si="109"/>
        <v>1.040448624827651</v>
      </c>
      <c r="AU312" s="10">
        <f t="shared" si="109"/>
        <v>1.0385629573639303</v>
      </c>
      <c r="AV312" s="10">
        <f t="shared" si="109"/>
        <v>1.0366772899002097</v>
      </c>
      <c r="AW312" s="10">
        <f t="shared" si="109"/>
        <v>1.034791622436489</v>
      </c>
      <c r="AX312" s="10">
        <f t="shared" si="109"/>
        <v>1.0329059549727697</v>
      </c>
      <c r="AY312" s="10">
        <f t="shared" si="109"/>
        <v>1.0329059549727697</v>
      </c>
      <c r="AZ312" s="10">
        <f t="shared" si="109"/>
        <v>1.0329059549727697</v>
      </c>
      <c r="BA312" s="10">
        <f t="shared" si="109"/>
        <v>1.0329059549727697</v>
      </c>
      <c r="BB312" s="10">
        <f t="shared" si="109"/>
        <v>1.0329059549727697</v>
      </c>
      <c r="BC312" s="10">
        <f t="shared" si="109"/>
        <v>1.0329059549727697</v>
      </c>
      <c r="BD312" s="10">
        <f t="shared" si="109"/>
        <v>1.0329059549727697</v>
      </c>
      <c r="BE312" s="10">
        <f t="shared" si="109"/>
        <v>1.0329059549727697</v>
      </c>
      <c r="BF312" s="10">
        <f t="shared" si="109"/>
        <v>1.0329059549727697</v>
      </c>
      <c r="BG312" s="10">
        <f t="shared" si="109"/>
        <v>1.0329059549727697</v>
      </c>
      <c r="BH312" s="10">
        <f t="shared" si="109"/>
        <v>1.0329059549727697</v>
      </c>
      <c r="BI312" s="10">
        <f t="shared" si="109"/>
        <v>1.0329059549727697</v>
      </c>
    </row>
    <row r="313" spans="1:61" s="454" customFormat="1">
      <c r="A313" s="8" t="str">
        <f t="shared" si="96"/>
        <v>Prędkość 131-140 km/h</v>
      </c>
      <c r="B313" s="129" t="s">
        <v>42</v>
      </c>
      <c r="C313" s="13"/>
      <c r="D313" s="13"/>
      <c r="E313" s="13"/>
      <c r="F313" s="13"/>
      <c r="G313" s="13"/>
      <c r="H313" s="13"/>
      <c r="I313" s="13"/>
      <c r="J313" s="13"/>
      <c r="K313" s="13"/>
      <c r="L313" s="13"/>
      <c r="M313" s="13"/>
      <c r="N313" s="13"/>
      <c r="O313" s="13"/>
      <c r="P313" s="13"/>
      <c r="Q313" s="93"/>
      <c r="R313" s="93"/>
      <c r="S313" s="93"/>
      <c r="T313" s="10">
        <f t="shared" ref="T313:BI313" si="110">($T186*$T$205*T$215)*U$50+T$286*U$53</f>
        <v>1.013515457661154</v>
      </c>
      <c r="U313" s="10">
        <f t="shared" si="110"/>
        <v>1.0468317918615173</v>
      </c>
      <c r="V313" s="10">
        <f t="shared" si="110"/>
        <v>1.0990187191269729</v>
      </c>
      <c r="W313" s="10">
        <f t="shared" si="110"/>
        <v>1.0978172250074909</v>
      </c>
      <c r="X313" s="10">
        <f t="shared" si="110"/>
        <v>1.0966157308880089</v>
      </c>
      <c r="Y313" s="10">
        <f t="shared" si="110"/>
        <v>1.0954142367685273</v>
      </c>
      <c r="Z313" s="10">
        <f t="shared" si="110"/>
        <v>1.0942127426490453</v>
      </c>
      <c r="AA313" s="10">
        <f t="shared" si="110"/>
        <v>1.0930112485295633</v>
      </c>
      <c r="AB313" s="10">
        <f t="shared" si="110"/>
        <v>1.0918097544100815</v>
      </c>
      <c r="AC313" s="10">
        <f t="shared" si="110"/>
        <v>1.0906082602905998</v>
      </c>
      <c r="AD313" s="10">
        <f t="shared" si="110"/>
        <v>1.0894067661711184</v>
      </c>
      <c r="AE313" s="10">
        <f t="shared" si="110"/>
        <v>1.0872633314695044</v>
      </c>
      <c r="AF313" s="10">
        <f t="shared" si="110"/>
        <v>1.0851198967678901</v>
      </c>
      <c r="AG313" s="10">
        <f t="shared" si="110"/>
        <v>1.0829764620662761</v>
      </c>
      <c r="AH313" s="10">
        <f t="shared" si="110"/>
        <v>1.080833027364662</v>
      </c>
      <c r="AI313" s="10">
        <f t="shared" si="110"/>
        <v>1.078689592663048</v>
      </c>
      <c r="AJ313" s="10">
        <f t="shared" si="110"/>
        <v>1.0765461579614339</v>
      </c>
      <c r="AK313" s="10">
        <f t="shared" si="110"/>
        <v>1.0744027232598197</v>
      </c>
      <c r="AL313" s="10">
        <f t="shared" si="110"/>
        <v>1.0722592885582056</v>
      </c>
      <c r="AM313" s="10">
        <f t="shared" si="110"/>
        <v>1.0701158538565916</v>
      </c>
      <c r="AN313" s="10">
        <f t="shared" si="110"/>
        <v>1.0679724191549775</v>
      </c>
      <c r="AO313" s="10">
        <f t="shared" si="110"/>
        <v>1.0658289844533633</v>
      </c>
      <c r="AP313" s="10">
        <f t="shared" si="110"/>
        <v>1.0636855497517492</v>
      </c>
      <c r="AQ313" s="10">
        <f t="shared" si="110"/>
        <v>1.0615421150501352</v>
      </c>
      <c r="AR313" s="10">
        <f t="shared" si="110"/>
        <v>1.0593986803485209</v>
      </c>
      <c r="AS313" s="10">
        <f t="shared" si="110"/>
        <v>1.0572552456469069</v>
      </c>
      <c r="AT313" s="10">
        <f t="shared" si="110"/>
        <v>1.0551118109452928</v>
      </c>
      <c r="AU313" s="10">
        <f t="shared" si="110"/>
        <v>1.0529683762436788</v>
      </c>
      <c r="AV313" s="10">
        <f t="shared" si="110"/>
        <v>1.0508249415420645</v>
      </c>
      <c r="AW313" s="10">
        <f t="shared" si="110"/>
        <v>1.0486815068404505</v>
      </c>
      <c r="AX313" s="10">
        <f t="shared" si="110"/>
        <v>1.0465380721388378</v>
      </c>
      <c r="AY313" s="10">
        <f t="shared" si="110"/>
        <v>1.0465380721388378</v>
      </c>
      <c r="AZ313" s="10">
        <f t="shared" si="110"/>
        <v>1.0465380721388378</v>
      </c>
      <c r="BA313" s="10">
        <f t="shared" si="110"/>
        <v>1.0465380721388378</v>
      </c>
      <c r="BB313" s="10">
        <f t="shared" si="110"/>
        <v>1.0465380721388378</v>
      </c>
      <c r="BC313" s="10">
        <f t="shared" si="110"/>
        <v>1.0465380721388378</v>
      </c>
      <c r="BD313" s="10">
        <f t="shared" si="110"/>
        <v>1.0465380721388378</v>
      </c>
      <c r="BE313" s="10">
        <f t="shared" si="110"/>
        <v>1.0465380721388378</v>
      </c>
      <c r="BF313" s="10">
        <f t="shared" si="110"/>
        <v>1.0465380721388378</v>
      </c>
      <c r="BG313" s="10">
        <f t="shared" si="110"/>
        <v>1.0465380721388378</v>
      </c>
      <c r="BH313" s="10">
        <f t="shared" si="110"/>
        <v>1.0465380721388378</v>
      </c>
      <c r="BI313" s="10">
        <f t="shared" si="110"/>
        <v>1.0465380721388378</v>
      </c>
    </row>
    <row r="314" spans="1:61" s="454" customFormat="1" ht="30">
      <c r="A314" s="496" t="s">
        <v>318</v>
      </c>
      <c r="B314" s="508"/>
      <c r="C314" s="497"/>
      <c r="D314" s="497"/>
      <c r="E314" s="497"/>
      <c r="F314" s="497"/>
      <c r="G314" s="497"/>
      <c r="H314" s="497"/>
      <c r="I314" s="497"/>
      <c r="J314" s="497"/>
      <c r="K314" s="497"/>
      <c r="L314" s="497"/>
      <c r="M314" s="497"/>
      <c r="N314" s="497"/>
      <c r="O314" s="497"/>
      <c r="P314" s="500"/>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row>
    <row r="315" spans="1:61" s="454" customFormat="1">
      <c r="A315" s="8" t="str">
        <f t="shared" ref="A315:A328" si="111">"Prędkość "&amp;$S173&amp;" km/h"</f>
        <v>Prędkość 0-10 km/h</v>
      </c>
      <c r="B315" s="129" t="s">
        <v>42</v>
      </c>
      <c r="C315" s="13"/>
      <c r="D315" s="13"/>
      <c r="E315" s="13"/>
      <c r="F315" s="13"/>
      <c r="G315" s="13"/>
      <c r="H315" s="13"/>
      <c r="I315" s="13"/>
      <c r="J315" s="13"/>
      <c r="K315" s="13"/>
      <c r="L315" s="13"/>
      <c r="M315" s="13"/>
      <c r="N315" s="13"/>
      <c r="O315" s="13"/>
      <c r="P315" s="13"/>
      <c r="Q315" s="93"/>
      <c r="R315" s="93"/>
      <c r="S315" s="93"/>
      <c r="T315" s="10">
        <f t="shared" ref="T315:BI315" si="112">($U173*$U$205*T$215)*U$57+(0)*U$58</f>
        <v>2.9781794511564383</v>
      </c>
      <c r="U315" s="10">
        <f t="shared" si="112"/>
        <v>3.0794375524957571</v>
      </c>
      <c r="V315" s="10">
        <f t="shared" si="112"/>
        <v>3.2364888676730406</v>
      </c>
      <c r="W315" s="10">
        <f t="shared" si="112"/>
        <v>3.2364888676730406</v>
      </c>
      <c r="X315" s="10">
        <f t="shared" si="112"/>
        <v>3.2364888676730406</v>
      </c>
      <c r="Y315" s="10">
        <f t="shared" si="112"/>
        <v>3.2364888676730406</v>
      </c>
      <c r="Z315" s="10">
        <f t="shared" si="112"/>
        <v>3.2364888676730406</v>
      </c>
      <c r="AA315" s="10">
        <f t="shared" si="112"/>
        <v>3.2364888676730406</v>
      </c>
      <c r="AB315" s="10">
        <f t="shared" si="112"/>
        <v>3.2364888676730406</v>
      </c>
      <c r="AC315" s="10">
        <f t="shared" si="112"/>
        <v>3.2364888676730406</v>
      </c>
      <c r="AD315" s="10">
        <f t="shared" si="112"/>
        <v>3.2364888676730406</v>
      </c>
      <c r="AE315" s="10">
        <f t="shared" si="112"/>
        <v>3.2364888676730406</v>
      </c>
      <c r="AF315" s="10">
        <f t="shared" si="112"/>
        <v>3.2364888676730406</v>
      </c>
      <c r="AG315" s="10">
        <f t="shared" si="112"/>
        <v>3.2364888676730406</v>
      </c>
      <c r="AH315" s="10">
        <f t="shared" si="112"/>
        <v>3.2364888676730406</v>
      </c>
      <c r="AI315" s="10">
        <f t="shared" si="112"/>
        <v>3.2364888676730406</v>
      </c>
      <c r="AJ315" s="10">
        <f t="shared" si="112"/>
        <v>3.2364888676730406</v>
      </c>
      <c r="AK315" s="10">
        <f t="shared" si="112"/>
        <v>3.2364888676730406</v>
      </c>
      <c r="AL315" s="10">
        <f t="shared" si="112"/>
        <v>3.2364888676730406</v>
      </c>
      <c r="AM315" s="10">
        <f t="shared" si="112"/>
        <v>3.2364888676730406</v>
      </c>
      <c r="AN315" s="10">
        <f t="shared" si="112"/>
        <v>3.2364888676730406</v>
      </c>
      <c r="AO315" s="10">
        <f t="shared" si="112"/>
        <v>3.2364888676730406</v>
      </c>
      <c r="AP315" s="10">
        <f t="shared" si="112"/>
        <v>3.2364888676730406</v>
      </c>
      <c r="AQ315" s="10">
        <f t="shared" si="112"/>
        <v>3.2364888676730406</v>
      </c>
      <c r="AR315" s="10">
        <f t="shared" si="112"/>
        <v>3.2364888676730406</v>
      </c>
      <c r="AS315" s="10">
        <f t="shared" si="112"/>
        <v>3.2364888676730406</v>
      </c>
      <c r="AT315" s="10">
        <f t="shared" si="112"/>
        <v>3.2364888676730406</v>
      </c>
      <c r="AU315" s="10">
        <f t="shared" si="112"/>
        <v>3.2364888676730406</v>
      </c>
      <c r="AV315" s="10">
        <f t="shared" si="112"/>
        <v>3.2364888676730406</v>
      </c>
      <c r="AW315" s="10">
        <f t="shared" si="112"/>
        <v>3.2364888676730406</v>
      </c>
      <c r="AX315" s="10">
        <f t="shared" si="112"/>
        <v>3.2364888676730406</v>
      </c>
      <c r="AY315" s="10">
        <f t="shared" si="112"/>
        <v>3.2364888676730406</v>
      </c>
      <c r="AZ315" s="10">
        <f t="shared" si="112"/>
        <v>3.2364888676730406</v>
      </c>
      <c r="BA315" s="10">
        <f t="shared" si="112"/>
        <v>3.2364888676730406</v>
      </c>
      <c r="BB315" s="10">
        <f t="shared" si="112"/>
        <v>3.2364888676730406</v>
      </c>
      <c r="BC315" s="10">
        <f t="shared" si="112"/>
        <v>3.2364888676730406</v>
      </c>
      <c r="BD315" s="10">
        <f t="shared" si="112"/>
        <v>3.2364888676730406</v>
      </c>
      <c r="BE315" s="10">
        <f t="shared" si="112"/>
        <v>3.2364888676730406</v>
      </c>
      <c r="BF315" s="10">
        <f t="shared" si="112"/>
        <v>3.2364888676730406</v>
      </c>
      <c r="BG315" s="10">
        <f t="shared" si="112"/>
        <v>3.2364888676730406</v>
      </c>
      <c r="BH315" s="10">
        <f t="shared" si="112"/>
        <v>3.2364888676730406</v>
      </c>
      <c r="BI315" s="10">
        <f t="shared" si="112"/>
        <v>3.2364888676730406</v>
      </c>
    </row>
    <row r="316" spans="1:61" s="454" customFormat="1">
      <c r="A316" s="8" t="str">
        <f t="shared" si="111"/>
        <v>Prędkość 11-20 km/h</v>
      </c>
      <c r="B316" s="129" t="s">
        <v>42</v>
      </c>
      <c r="C316" s="13"/>
      <c r="D316" s="13"/>
      <c r="E316" s="13"/>
      <c r="F316" s="13"/>
      <c r="G316" s="13"/>
      <c r="H316" s="13"/>
      <c r="I316" s="13"/>
      <c r="J316" s="13"/>
      <c r="K316" s="13"/>
      <c r="L316" s="13"/>
      <c r="M316" s="13"/>
      <c r="N316" s="13"/>
      <c r="O316" s="13"/>
      <c r="P316" s="13"/>
      <c r="Q316" s="93"/>
      <c r="R316" s="93"/>
      <c r="S316" s="93"/>
      <c r="T316" s="10">
        <f t="shared" ref="T316:BI316" si="113">($U174*$U$205*T$215)*U$57+(0)*U$58</f>
        <v>2.3029407221610732</v>
      </c>
      <c r="U316" s="10">
        <f t="shared" si="113"/>
        <v>2.3812407067145496</v>
      </c>
      <c r="V316" s="10">
        <f t="shared" si="113"/>
        <v>2.5026839827569916</v>
      </c>
      <c r="W316" s="10">
        <f t="shared" si="113"/>
        <v>2.5026839827569916</v>
      </c>
      <c r="X316" s="10">
        <f t="shared" si="113"/>
        <v>2.5026839827569916</v>
      </c>
      <c r="Y316" s="10">
        <f t="shared" si="113"/>
        <v>2.5026839827569916</v>
      </c>
      <c r="Z316" s="10">
        <f t="shared" si="113"/>
        <v>2.5026839827569916</v>
      </c>
      <c r="AA316" s="10">
        <f t="shared" si="113"/>
        <v>2.5026839827569916</v>
      </c>
      <c r="AB316" s="10">
        <f t="shared" si="113"/>
        <v>2.5026839827569916</v>
      </c>
      <c r="AC316" s="10">
        <f t="shared" si="113"/>
        <v>2.5026839827569916</v>
      </c>
      <c r="AD316" s="10">
        <f t="shared" si="113"/>
        <v>2.5026839827569916</v>
      </c>
      <c r="AE316" s="10">
        <f t="shared" si="113"/>
        <v>2.5026839827569916</v>
      </c>
      <c r="AF316" s="10">
        <f t="shared" si="113"/>
        <v>2.5026839827569916</v>
      </c>
      <c r="AG316" s="10">
        <f t="shared" si="113"/>
        <v>2.5026839827569916</v>
      </c>
      <c r="AH316" s="10">
        <f t="shared" si="113"/>
        <v>2.5026839827569916</v>
      </c>
      <c r="AI316" s="10">
        <f t="shared" si="113"/>
        <v>2.5026839827569916</v>
      </c>
      <c r="AJ316" s="10">
        <f t="shared" si="113"/>
        <v>2.5026839827569916</v>
      </c>
      <c r="AK316" s="10">
        <f t="shared" si="113"/>
        <v>2.5026839827569916</v>
      </c>
      <c r="AL316" s="10">
        <f t="shared" si="113"/>
        <v>2.5026839827569916</v>
      </c>
      <c r="AM316" s="10">
        <f t="shared" si="113"/>
        <v>2.5026839827569916</v>
      </c>
      <c r="AN316" s="10">
        <f t="shared" si="113"/>
        <v>2.5026839827569916</v>
      </c>
      <c r="AO316" s="10">
        <f t="shared" si="113"/>
        <v>2.5026839827569916</v>
      </c>
      <c r="AP316" s="10">
        <f t="shared" si="113"/>
        <v>2.5026839827569916</v>
      </c>
      <c r="AQ316" s="10">
        <f t="shared" si="113"/>
        <v>2.5026839827569916</v>
      </c>
      <c r="AR316" s="10">
        <f t="shared" si="113"/>
        <v>2.5026839827569916</v>
      </c>
      <c r="AS316" s="10">
        <f t="shared" si="113"/>
        <v>2.5026839827569916</v>
      </c>
      <c r="AT316" s="10">
        <f t="shared" si="113"/>
        <v>2.5026839827569916</v>
      </c>
      <c r="AU316" s="10">
        <f t="shared" si="113"/>
        <v>2.5026839827569916</v>
      </c>
      <c r="AV316" s="10">
        <f t="shared" si="113"/>
        <v>2.5026839827569916</v>
      </c>
      <c r="AW316" s="10">
        <f t="shared" si="113"/>
        <v>2.5026839827569916</v>
      </c>
      <c r="AX316" s="10">
        <f t="shared" si="113"/>
        <v>2.5026839827569916</v>
      </c>
      <c r="AY316" s="10">
        <f t="shared" si="113"/>
        <v>2.5026839827569916</v>
      </c>
      <c r="AZ316" s="10">
        <f t="shared" si="113"/>
        <v>2.5026839827569916</v>
      </c>
      <c r="BA316" s="10">
        <f t="shared" si="113"/>
        <v>2.5026839827569916</v>
      </c>
      <c r="BB316" s="10">
        <f t="shared" si="113"/>
        <v>2.5026839827569916</v>
      </c>
      <c r="BC316" s="10">
        <f t="shared" si="113"/>
        <v>2.5026839827569916</v>
      </c>
      <c r="BD316" s="10">
        <f t="shared" si="113"/>
        <v>2.5026839827569916</v>
      </c>
      <c r="BE316" s="10">
        <f t="shared" si="113"/>
        <v>2.5026839827569916</v>
      </c>
      <c r="BF316" s="10">
        <f t="shared" si="113"/>
        <v>2.5026839827569916</v>
      </c>
      <c r="BG316" s="10">
        <f t="shared" si="113"/>
        <v>2.5026839827569916</v>
      </c>
      <c r="BH316" s="10">
        <f t="shared" si="113"/>
        <v>2.5026839827569916</v>
      </c>
      <c r="BI316" s="10">
        <f t="shared" si="113"/>
        <v>2.5026839827569916</v>
      </c>
    </row>
    <row r="317" spans="1:61" s="454" customFormat="1">
      <c r="A317" s="8" t="str">
        <f t="shared" si="111"/>
        <v>Prędkość 21-30 km/h</v>
      </c>
      <c r="B317" s="129" t="s">
        <v>42</v>
      </c>
      <c r="C317" s="13"/>
      <c r="D317" s="13"/>
      <c r="E317" s="13"/>
      <c r="F317" s="13"/>
      <c r="G317" s="13"/>
      <c r="H317" s="13"/>
      <c r="I317" s="13"/>
      <c r="J317" s="13"/>
      <c r="K317" s="13"/>
      <c r="L317" s="13"/>
      <c r="M317" s="13"/>
      <c r="N317" s="13"/>
      <c r="O317" s="13"/>
      <c r="P317" s="13"/>
      <c r="Q317" s="93"/>
      <c r="R317" s="93"/>
      <c r="S317" s="93"/>
      <c r="T317" s="10">
        <f t="shared" ref="T317:BI317" si="114">($U175*$U$205*T$215)*U$57+(0)*U$58</f>
        <v>2.0996974545050899</v>
      </c>
      <c r="U317" s="10">
        <f t="shared" si="114"/>
        <v>2.1710871679582628</v>
      </c>
      <c r="V317" s="10">
        <f t="shared" si="114"/>
        <v>2.2818126135241341</v>
      </c>
      <c r="W317" s="10">
        <f t="shared" si="114"/>
        <v>2.2818126135241341</v>
      </c>
      <c r="X317" s="10">
        <f t="shared" si="114"/>
        <v>2.2818126135241341</v>
      </c>
      <c r="Y317" s="10">
        <f t="shared" si="114"/>
        <v>2.2818126135241341</v>
      </c>
      <c r="Z317" s="10">
        <f t="shared" si="114"/>
        <v>2.2818126135241341</v>
      </c>
      <c r="AA317" s="10">
        <f t="shared" si="114"/>
        <v>2.2818126135241341</v>
      </c>
      <c r="AB317" s="10">
        <f t="shared" si="114"/>
        <v>2.2818126135241341</v>
      </c>
      <c r="AC317" s="10">
        <f t="shared" si="114"/>
        <v>2.2818126135241341</v>
      </c>
      <c r="AD317" s="10">
        <f t="shared" si="114"/>
        <v>2.2818126135241341</v>
      </c>
      <c r="AE317" s="10">
        <f t="shared" si="114"/>
        <v>2.2818126135241341</v>
      </c>
      <c r="AF317" s="10">
        <f t="shared" si="114"/>
        <v>2.2818126135241341</v>
      </c>
      <c r="AG317" s="10">
        <f t="shared" si="114"/>
        <v>2.2818126135241341</v>
      </c>
      <c r="AH317" s="10">
        <f t="shared" si="114"/>
        <v>2.2818126135241341</v>
      </c>
      <c r="AI317" s="10">
        <f t="shared" si="114"/>
        <v>2.2818126135241341</v>
      </c>
      <c r="AJ317" s="10">
        <f t="shared" si="114"/>
        <v>2.2818126135241341</v>
      </c>
      <c r="AK317" s="10">
        <f t="shared" si="114"/>
        <v>2.2818126135241341</v>
      </c>
      <c r="AL317" s="10">
        <f t="shared" si="114"/>
        <v>2.2818126135241341</v>
      </c>
      <c r="AM317" s="10">
        <f t="shared" si="114"/>
        <v>2.2818126135241341</v>
      </c>
      <c r="AN317" s="10">
        <f t="shared" si="114"/>
        <v>2.2818126135241341</v>
      </c>
      <c r="AO317" s="10">
        <f t="shared" si="114"/>
        <v>2.2818126135241341</v>
      </c>
      <c r="AP317" s="10">
        <f t="shared" si="114"/>
        <v>2.2818126135241341</v>
      </c>
      <c r="AQ317" s="10">
        <f t="shared" si="114"/>
        <v>2.2818126135241341</v>
      </c>
      <c r="AR317" s="10">
        <f t="shared" si="114"/>
        <v>2.2818126135241341</v>
      </c>
      <c r="AS317" s="10">
        <f t="shared" si="114"/>
        <v>2.2818126135241341</v>
      </c>
      <c r="AT317" s="10">
        <f t="shared" si="114"/>
        <v>2.2818126135241341</v>
      </c>
      <c r="AU317" s="10">
        <f t="shared" si="114"/>
        <v>2.2818126135241341</v>
      </c>
      <c r="AV317" s="10">
        <f t="shared" si="114"/>
        <v>2.2818126135241341</v>
      </c>
      <c r="AW317" s="10">
        <f t="shared" si="114"/>
        <v>2.2818126135241341</v>
      </c>
      <c r="AX317" s="10">
        <f t="shared" si="114"/>
        <v>2.2818126135241341</v>
      </c>
      <c r="AY317" s="10">
        <f t="shared" si="114"/>
        <v>2.2818126135241341</v>
      </c>
      <c r="AZ317" s="10">
        <f t="shared" si="114"/>
        <v>2.2818126135241341</v>
      </c>
      <c r="BA317" s="10">
        <f t="shared" si="114"/>
        <v>2.2818126135241341</v>
      </c>
      <c r="BB317" s="10">
        <f t="shared" si="114"/>
        <v>2.2818126135241341</v>
      </c>
      <c r="BC317" s="10">
        <f t="shared" si="114"/>
        <v>2.2818126135241341</v>
      </c>
      <c r="BD317" s="10">
        <f t="shared" si="114"/>
        <v>2.2818126135241341</v>
      </c>
      <c r="BE317" s="10">
        <f t="shared" si="114"/>
        <v>2.2818126135241341</v>
      </c>
      <c r="BF317" s="10">
        <f t="shared" si="114"/>
        <v>2.2818126135241341</v>
      </c>
      <c r="BG317" s="10">
        <f t="shared" si="114"/>
        <v>2.2818126135241341</v>
      </c>
      <c r="BH317" s="10">
        <f t="shared" si="114"/>
        <v>2.2818126135241341</v>
      </c>
      <c r="BI317" s="10">
        <f t="shared" si="114"/>
        <v>2.2818126135241341</v>
      </c>
    </row>
    <row r="318" spans="1:61" s="454" customFormat="1">
      <c r="A318" s="8" t="str">
        <f t="shared" si="111"/>
        <v>Prędkość 31-40 km/h</v>
      </c>
      <c r="B318" s="129" t="s">
        <v>42</v>
      </c>
      <c r="C318" s="13"/>
      <c r="D318" s="13"/>
      <c r="E318" s="13"/>
      <c r="F318" s="13"/>
      <c r="G318" s="13"/>
      <c r="H318" s="13"/>
      <c r="I318" s="13"/>
      <c r="J318" s="13"/>
      <c r="K318" s="13"/>
      <c r="L318" s="13"/>
      <c r="M318" s="13"/>
      <c r="N318" s="13"/>
      <c r="O318" s="13"/>
      <c r="P318" s="13"/>
      <c r="Q318" s="93"/>
      <c r="R318" s="93"/>
      <c r="S318" s="93"/>
      <c r="T318" s="10">
        <f t="shared" ref="T318:BI318" si="115">($U176*$U$205*T$215)*U$57+(0)*U$58</f>
        <v>1.9965228984518499</v>
      </c>
      <c r="U318" s="10">
        <f t="shared" si="115"/>
        <v>2.0644046769992128</v>
      </c>
      <c r="V318" s="10">
        <f t="shared" si="115"/>
        <v>2.1696893155261723</v>
      </c>
      <c r="W318" s="10">
        <f t="shared" si="115"/>
        <v>2.1696893155261723</v>
      </c>
      <c r="X318" s="10">
        <f t="shared" si="115"/>
        <v>2.1696893155261723</v>
      </c>
      <c r="Y318" s="10">
        <f t="shared" si="115"/>
        <v>2.1696893155261723</v>
      </c>
      <c r="Z318" s="10">
        <f t="shared" si="115"/>
        <v>2.1696893155261723</v>
      </c>
      <c r="AA318" s="10">
        <f t="shared" si="115"/>
        <v>2.1696893155261723</v>
      </c>
      <c r="AB318" s="10">
        <f t="shared" si="115"/>
        <v>2.1696893155261723</v>
      </c>
      <c r="AC318" s="10">
        <f t="shared" si="115"/>
        <v>2.1696893155261723</v>
      </c>
      <c r="AD318" s="10">
        <f t="shared" si="115"/>
        <v>2.1696893155261723</v>
      </c>
      <c r="AE318" s="10">
        <f t="shared" si="115"/>
        <v>2.1696893155261723</v>
      </c>
      <c r="AF318" s="10">
        <f t="shared" si="115"/>
        <v>2.1696893155261723</v>
      </c>
      <c r="AG318" s="10">
        <f t="shared" si="115"/>
        <v>2.1696893155261723</v>
      </c>
      <c r="AH318" s="10">
        <f t="shared" si="115"/>
        <v>2.1696893155261723</v>
      </c>
      <c r="AI318" s="10">
        <f t="shared" si="115"/>
        <v>2.1696893155261723</v>
      </c>
      <c r="AJ318" s="10">
        <f t="shared" si="115"/>
        <v>2.1696893155261723</v>
      </c>
      <c r="AK318" s="10">
        <f t="shared" si="115"/>
        <v>2.1696893155261723</v>
      </c>
      <c r="AL318" s="10">
        <f t="shared" si="115"/>
        <v>2.1696893155261723</v>
      </c>
      <c r="AM318" s="10">
        <f t="shared" si="115"/>
        <v>2.1696893155261723</v>
      </c>
      <c r="AN318" s="10">
        <f t="shared" si="115"/>
        <v>2.1696893155261723</v>
      </c>
      <c r="AO318" s="10">
        <f t="shared" si="115"/>
        <v>2.1696893155261723</v>
      </c>
      <c r="AP318" s="10">
        <f t="shared" si="115"/>
        <v>2.1696893155261723</v>
      </c>
      <c r="AQ318" s="10">
        <f t="shared" si="115"/>
        <v>2.1696893155261723</v>
      </c>
      <c r="AR318" s="10">
        <f t="shared" si="115"/>
        <v>2.1696893155261723</v>
      </c>
      <c r="AS318" s="10">
        <f t="shared" si="115"/>
        <v>2.1696893155261723</v>
      </c>
      <c r="AT318" s="10">
        <f t="shared" si="115"/>
        <v>2.1696893155261723</v>
      </c>
      <c r="AU318" s="10">
        <f t="shared" si="115"/>
        <v>2.1696893155261723</v>
      </c>
      <c r="AV318" s="10">
        <f t="shared" si="115"/>
        <v>2.1696893155261723</v>
      </c>
      <c r="AW318" s="10">
        <f t="shared" si="115"/>
        <v>2.1696893155261723</v>
      </c>
      <c r="AX318" s="10">
        <f t="shared" si="115"/>
        <v>2.1696893155261723</v>
      </c>
      <c r="AY318" s="10">
        <f t="shared" si="115"/>
        <v>2.1696893155261723</v>
      </c>
      <c r="AZ318" s="10">
        <f t="shared" si="115"/>
        <v>2.1696893155261723</v>
      </c>
      <c r="BA318" s="10">
        <f t="shared" si="115"/>
        <v>2.1696893155261723</v>
      </c>
      <c r="BB318" s="10">
        <f t="shared" si="115"/>
        <v>2.1696893155261723</v>
      </c>
      <c r="BC318" s="10">
        <f t="shared" si="115"/>
        <v>2.1696893155261723</v>
      </c>
      <c r="BD318" s="10">
        <f t="shared" si="115"/>
        <v>2.1696893155261723</v>
      </c>
      <c r="BE318" s="10">
        <f t="shared" si="115"/>
        <v>2.1696893155261723</v>
      </c>
      <c r="BF318" s="10">
        <f t="shared" si="115"/>
        <v>2.1696893155261723</v>
      </c>
      <c r="BG318" s="10">
        <f t="shared" si="115"/>
        <v>2.1696893155261723</v>
      </c>
      <c r="BH318" s="10">
        <f t="shared" si="115"/>
        <v>2.1696893155261723</v>
      </c>
      <c r="BI318" s="10">
        <f t="shared" si="115"/>
        <v>2.1696893155261723</v>
      </c>
    </row>
    <row r="319" spans="1:61" s="454" customFormat="1">
      <c r="A319" s="8" t="str">
        <f t="shared" si="111"/>
        <v>Prędkość 41-50 km/h</v>
      </c>
      <c r="B319" s="129" t="s">
        <v>42</v>
      </c>
      <c r="C319" s="13"/>
      <c r="D319" s="13"/>
      <c r="E319" s="13"/>
      <c r="F319" s="13"/>
      <c r="G319" s="13"/>
      <c r="H319" s="13"/>
      <c r="I319" s="13"/>
      <c r="J319" s="13"/>
      <c r="K319" s="13"/>
      <c r="L319" s="13"/>
      <c r="M319" s="13"/>
      <c r="N319" s="13"/>
      <c r="O319" s="13"/>
      <c r="P319" s="13"/>
      <c r="Q319" s="93"/>
      <c r="R319" s="93"/>
      <c r="S319" s="93"/>
      <c r="T319" s="10">
        <f t="shared" ref="T319:BI319" si="116">($U177*$U$205*T$215)*U$57+(0)*U$58</f>
        <v>1.939886399703517</v>
      </c>
      <c r="U319" s="10">
        <f t="shared" si="116"/>
        <v>2.0058425372934368</v>
      </c>
      <c r="V319" s="10">
        <f t="shared" si="116"/>
        <v>2.1081405066954013</v>
      </c>
      <c r="W319" s="10">
        <f t="shared" si="116"/>
        <v>2.1081405066954013</v>
      </c>
      <c r="X319" s="10">
        <f t="shared" si="116"/>
        <v>2.1081405066954013</v>
      </c>
      <c r="Y319" s="10">
        <f t="shared" si="116"/>
        <v>2.1081405066954013</v>
      </c>
      <c r="Z319" s="10">
        <f t="shared" si="116"/>
        <v>2.1081405066954013</v>
      </c>
      <c r="AA319" s="10">
        <f t="shared" si="116"/>
        <v>2.1081405066954013</v>
      </c>
      <c r="AB319" s="10">
        <f t="shared" si="116"/>
        <v>2.1081405066954013</v>
      </c>
      <c r="AC319" s="10">
        <f t="shared" si="116"/>
        <v>2.1081405066954013</v>
      </c>
      <c r="AD319" s="10">
        <f t="shared" si="116"/>
        <v>2.1081405066954013</v>
      </c>
      <c r="AE319" s="10">
        <f t="shared" si="116"/>
        <v>2.1081405066954013</v>
      </c>
      <c r="AF319" s="10">
        <f t="shared" si="116"/>
        <v>2.1081405066954013</v>
      </c>
      <c r="AG319" s="10">
        <f t="shared" si="116"/>
        <v>2.1081405066954013</v>
      </c>
      <c r="AH319" s="10">
        <f t="shared" si="116"/>
        <v>2.1081405066954013</v>
      </c>
      <c r="AI319" s="10">
        <f t="shared" si="116"/>
        <v>2.1081405066954013</v>
      </c>
      <c r="AJ319" s="10">
        <f t="shared" si="116"/>
        <v>2.1081405066954013</v>
      </c>
      <c r="AK319" s="10">
        <f t="shared" si="116"/>
        <v>2.1081405066954013</v>
      </c>
      <c r="AL319" s="10">
        <f t="shared" si="116"/>
        <v>2.1081405066954013</v>
      </c>
      <c r="AM319" s="10">
        <f t="shared" si="116"/>
        <v>2.1081405066954013</v>
      </c>
      <c r="AN319" s="10">
        <f t="shared" si="116"/>
        <v>2.1081405066954013</v>
      </c>
      <c r="AO319" s="10">
        <f t="shared" si="116"/>
        <v>2.1081405066954013</v>
      </c>
      <c r="AP319" s="10">
        <f t="shared" si="116"/>
        <v>2.1081405066954013</v>
      </c>
      <c r="AQ319" s="10">
        <f t="shared" si="116"/>
        <v>2.1081405066954013</v>
      </c>
      <c r="AR319" s="10">
        <f t="shared" si="116"/>
        <v>2.1081405066954013</v>
      </c>
      <c r="AS319" s="10">
        <f t="shared" si="116"/>
        <v>2.1081405066954013</v>
      </c>
      <c r="AT319" s="10">
        <f t="shared" si="116"/>
        <v>2.1081405066954013</v>
      </c>
      <c r="AU319" s="10">
        <f t="shared" si="116"/>
        <v>2.1081405066954013</v>
      </c>
      <c r="AV319" s="10">
        <f t="shared" si="116"/>
        <v>2.1081405066954013</v>
      </c>
      <c r="AW319" s="10">
        <f t="shared" si="116"/>
        <v>2.1081405066954013</v>
      </c>
      <c r="AX319" s="10">
        <f t="shared" si="116"/>
        <v>2.1081405066954013</v>
      </c>
      <c r="AY319" s="10">
        <f t="shared" si="116"/>
        <v>2.1081405066954013</v>
      </c>
      <c r="AZ319" s="10">
        <f t="shared" si="116"/>
        <v>2.1081405066954013</v>
      </c>
      <c r="BA319" s="10">
        <f t="shared" si="116"/>
        <v>2.1081405066954013</v>
      </c>
      <c r="BB319" s="10">
        <f t="shared" si="116"/>
        <v>2.1081405066954013</v>
      </c>
      <c r="BC319" s="10">
        <f t="shared" si="116"/>
        <v>2.1081405066954013</v>
      </c>
      <c r="BD319" s="10">
        <f t="shared" si="116"/>
        <v>2.1081405066954013</v>
      </c>
      <c r="BE319" s="10">
        <f t="shared" si="116"/>
        <v>2.1081405066954013</v>
      </c>
      <c r="BF319" s="10">
        <f t="shared" si="116"/>
        <v>2.1081405066954013</v>
      </c>
      <c r="BG319" s="10">
        <f t="shared" si="116"/>
        <v>2.1081405066954013</v>
      </c>
      <c r="BH319" s="10">
        <f t="shared" si="116"/>
        <v>2.1081405066954013</v>
      </c>
      <c r="BI319" s="10">
        <f t="shared" si="116"/>
        <v>2.1081405066954013</v>
      </c>
    </row>
    <row r="320" spans="1:61" s="454" customFormat="1">
      <c r="A320" s="8" t="str">
        <f t="shared" si="111"/>
        <v>Prędkość 51-60 km/h</v>
      </c>
      <c r="B320" s="129" t="s">
        <v>42</v>
      </c>
      <c r="C320" s="13"/>
      <c r="D320" s="13"/>
      <c r="E320" s="13"/>
      <c r="F320" s="13"/>
      <c r="G320" s="13"/>
      <c r="H320" s="13"/>
      <c r="I320" s="13"/>
      <c r="J320" s="13"/>
      <c r="K320" s="13"/>
      <c r="L320" s="13"/>
      <c r="M320" s="13"/>
      <c r="N320" s="13"/>
      <c r="O320" s="13"/>
      <c r="P320" s="13"/>
      <c r="Q320" s="93"/>
      <c r="R320" s="93"/>
      <c r="S320" s="93"/>
      <c r="T320" s="10">
        <f t="shared" ref="T320:BI320" si="117">($U178*$U$205*T$215)*U$57+(0)*U$58</f>
        <v>1.9097575991734939</v>
      </c>
      <c r="U320" s="10">
        <f t="shared" si="117"/>
        <v>1.9746893575453928</v>
      </c>
      <c r="V320" s="10">
        <f t="shared" si="117"/>
        <v>2.0753985147802072</v>
      </c>
      <c r="W320" s="10">
        <f t="shared" si="117"/>
        <v>2.0753985147802072</v>
      </c>
      <c r="X320" s="10">
        <f t="shared" si="117"/>
        <v>2.0753985147802072</v>
      </c>
      <c r="Y320" s="10">
        <f t="shared" si="117"/>
        <v>2.0753985147802072</v>
      </c>
      <c r="Z320" s="10">
        <f t="shared" si="117"/>
        <v>2.0753985147802072</v>
      </c>
      <c r="AA320" s="10">
        <f t="shared" si="117"/>
        <v>2.0753985147802072</v>
      </c>
      <c r="AB320" s="10">
        <f t="shared" si="117"/>
        <v>2.0753985147802072</v>
      </c>
      <c r="AC320" s="10">
        <f t="shared" si="117"/>
        <v>2.0753985147802072</v>
      </c>
      <c r="AD320" s="10">
        <f t="shared" si="117"/>
        <v>2.0753985147802072</v>
      </c>
      <c r="AE320" s="10">
        <f t="shared" si="117"/>
        <v>2.0753985147802072</v>
      </c>
      <c r="AF320" s="10">
        <f t="shared" si="117"/>
        <v>2.0753985147802072</v>
      </c>
      <c r="AG320" s="10">
        <f t="shared" si="117"/>
        <v>2.0753985147802072</v>
      </c>
      <c r="AH320" s="10">
        <f t="shared" si="117"/>
        <v>2.0753985147802072</v>
      </c>
      <c r="AI320" s="10">
        <f t="shared" si="117"/>
        <v>2.0753985147802072</v>
      </c>
      <c r="AJ320" s="10">
        <f t="shared" si="117"/>
        <v>2.0753985147802072</v>
      </c>
      <c r="AK320" s="10">
        <f t="shared" si="117"/>
        <v>2.0753985147802072</v>
      </c>
      <c r="AL320" s="10">
        <f t="shared" si="117"/>
        <v>2.0753985147802072</v>
      </c>
      <c r="AM320" s="10">
        <f t="shared" si="117"/>
        <v>2.0753985147802072</v>
      </c>
      <c r="AN320" s="10">
        <f t="shared" si="117"/>
        <v>2.0753985147802072</v>
      </c>
      <c r="AO320" s="10">
        <f t="shared" si="117"/>
        <v>2.0753985147802072</v>
      </c>
      <c r="AP320" s="10">
        <f t="shared" si="117"/>
        <v>2.0753985147802072</v>
      </c>
      <c r="AQ320" s="10">
        <f t="shared" si="117"/>
        <v>2.0753985147802072</v>
      </c>
      <c r="AR320" s="10">
        <f t="shared" si="117"/>
        <v>2.0753985147802072</v>
      </c>
      <c r="AS320" s="10">
        <f t="shared" si="117"/>
        <v>2.0753985147802072</v>
      </c>
      <c r="AT320" s="10">
        <f t="shared" si="117"/>
        <v>2.0753985147802072</v>
      </c>
      <c r="AU320" s="10">
        <f t="shared" si="117"/>
        <v>2.0753985147802072</v>
      </c>
      <c r="AV320" s="10">
        <f t="shared" si="117"/>
        <v>2.0753985147802072</v>
      </c>
      <c r="AW320" s="10">
        <f t="shared" si="117"/>
        <v>2.0753985147802072</v>
      </c>
      <c r="AX320" s="10">
        <f t="shared" si="117"/>
        <v>2.0753985147802072</v>
      </c>
      <c r="AY320" s="10">
        <f t="shared" si="117"/>
        <v>2.0753985147802072</v>
      </c>
      <c r="AZ320" s="10">
        <f t="shared" si="117"/>
        <v>2.0753985147802072</v>
      </c>
      <c r="BA320" s="10">
        <f t="shared" si="117"/>
        <v>2.0753985147802072</v>
      </c>
      <c r="BB320" s="10">
        <f t="shared" si="117"/>
        <v>2.0753985147802072</v>
      </c>
      <c r="BC320" s="10">
        <f t="shared" si="117"/>
        <v>2.0753985147802072</v>
      </c>
      <c r="BD320" s="10">
        <f t="shared" si="117"/>
        <v>2.0753985147802072</v>
      </c>
      <c r="BE320" s="10">
        <f t="shared" si="117"/>
        <v>2.0753985147802072</v>
      </c>
      <c r="BF320" s="10">
        <f t="shared" si="117"/>
        <v>2.0753985147802072</v>
      </c>
      <c r="BG320" s="10">
        <f t="shared" si="117"/>
        <v>2.0753985147802072</v>
      </c>
      <c r="BH320" s="10">
        <f t="shared" si="117"/>
        <v>2.0753985147802072</v>
      </c>
      <c r="BI320" s="10">
        <f t="shared" si="117"/>
        <v>2.0753985147802072</v>
      </c>
    </row>
    <row r="321" spans="1:61">
      <c r="A321" s="8" t="str">
        <f t="shared" si="111"/>
        <v>Prędkość 61-70 km/h</v>
      </c>
      <c r="B321" s="129" t="s">
        <v>42</v>
      </c>
      <c r="C321" s="13"/>
      <c r="D321" s="13"/>
      <c r="E321" s="13"/>
      <c r="F321" s="13"/>
      <c r="G321" s="13"/>
      <c r="H321" s="13"/>
      <c r="I321" s="13"/>
      <c r="J321" s="13"/>
      <c r="K321" s="13"/>
      <c r="L321" s="13"/>
      <c r="M321" s="13"/>
      <c r="N321" s="13"/>
      <c r="O321" s="13"/>
      <c r="P321" s="13"/>
      <c r="Q321" s="93"/>
      <c r="R321" s="93"/>
      <c r="S321" s="93"/>
      <c r="T321" s="10">
        <f t="shared" ref="T321:BI321" si="118">($U179*$U$205*T$215)*U$57+(0)*U$58</f>
        <v>1.8956275255604569</v>
      </c>
      <c r="U321" s="10">
        <f t="shared" si="118"/>
        <v>1.9600788614295124</v>
      </c>
      <c r="V321" s="10">
        <f t="shared" si="118"/>
        <v>2.0600428833624171</v>
      </c>
      <c r="W321" s="10">
        <f t="shared" si="118"/>
        <v>2.0600428833624171</v>
      </c>
      <c r="X321" s="10">
        <f t="shared" si="118"/>
        <v>2.0600428833624171</v>
      </c>
      <c r="Y321" s="10">
        <f t="shared" si="118"/>
        <v>2.0600428833624171</v>
      </c>
      <c r="Z321" s="10">
        <f t="shared" si="118"/>
        <v>2.0600428833624171</v>
      </c>
      <c r="AA321" s="10">
        <f t="shared" si="118"/>
        <v>2.0600428833624171</v>
      </c>
      <c r="AB321" s="10">
        <f t="shared" si="118"/>
        <v>2.0600428833624171</v>
      </c>
      <c r="AC321" s="10">
        <f t="shared" si="118"/>
        <v>2.0600428833624171</v>
      </c>
      <c r="AD321" s="10">
        <f t="shared" si="118"/>
        <v>2.0600428833624171</v>
      </c>
      <c r="AE321" s="10">
        <f t="shared" si="118"/>
        <v>2.0600428833624171</v>
      </c>
      <c r="AF321" s="10">
        <f t="shared" si="118"/>
        <v>2.0600428833624171</v>
      </c>
      <c r="AG321" s="10">
        <f t="shared" si="118"/>
        <v>2.0600428833624171</v>
      </c>
      <c r="AH321" s="10">
        <f t="shared" si="118"/>
        <v>2.0600428833624171</v>
      </c>
      <c r="AI321" s="10">
        <f t="shared" si="118"/>
        <v>2.0600428833624171</v>
      </c>
      <c r="AJ321" s="10">
        <f t="shared" si="118"/>
        <v>2.0600428833624171</v>
      </c>
      <c r="AK321" s="10">
        <f t="shared" si="118"/>
        <v>2.0600428833624171</v>
      </c>
      <c r="AL321" s="10">
        <f t="shared" si="118"/>
        <v>2.0600428833624171</v>
      </c>
      <c r="AM321" s="10">
        <f t="shared" si="118"/>
        <v>2.0600428833624171</v>
      </c>
      <c r="AN321" s="10">
        <f t="shared" si="118"/>
        <v>2.0600428833624171</v>
      </c>
      <c r="AO321" s="10">
        <f t="shared" si="118"/>
        <v>2.0600428833624171</v>
      </c>
      <c r="AP321" s="10">
        <f t="shared" si="118"/>
        <v>2.0600428833624171</v>
      </c>
      <c r="AQ321" s="10">
        <f t="shared" si="118"/>
        <v>2.0600428833624171</v>
      </c>
      <c r="AR321" s="10">
        <f t="shared" si="118"/>
        <v>2.0600428833624171</v>
      </c>
      <c r="AS321" s="10">
        <f t="shared" si="118"/>
        <v>2.0600428833624171</v>
      </c>
      <c r="AT321" s="10">
        <f t="shared" si="118"/>
        <v>2.0600428833624171</v>
      </c>
      <c r="AU321" s="10">
        <f t="shared" si="118"/>
        <v>2.0600428833624171</v>
      </c>
      <c r="AV321" s="10">
        <f t="shared" si="118"/>
        <v>2.0600428833624171</v>
      </c>
      <c r="AW321" s="10">
        <f t="shared" si="118"/>
        <v>2.0600428833624171</v>
      </c>
      <c r="AX321" s="10">
        <f t="shared" si="118"/>
        <v>2.0600428833624171</v>
      </c>
      <c r="AY321" s="10">
        <f t="shared" si="118"/>
        <v>2.0600428833624171</v>
      </c>
      <c r="AZ321" s="10">
        <f t="shared" si="118"/>
        <v>2.0600428833624171</v>
      </c>
      <c r="BA321" s="10">
        <f t="shared" si="118"/>
        <v>2.0600428833624171</v>
      </c>
      <c r="BB321" s="10">
        <f t="shared" si="118"/>
        <v>2.0600428833624171</v>
      </c>
      <c r="BC321" s="10">
        <f t="shared" si="118"/>
        <v>2.0600428833624171</v>
      </c>
      <c r="BD321" s="10">
        <f t="shared" si="118"/>
        <v>2.0600428833624171</v>
      </c>
      <c r="BE321" s="10">
        <f t="shared" si="118"/>
        <v>2.0600428833624171</v>
      </c>
      <c r="BF321" s="10">
        <f t="shared" si="118"/>
        <v>2.0600428833624171</v>
      </c>
      <c r="BG321" s="10">
        <f t="shared" si="118"/>
        <v>2.0600428833624171</v>
      </c>
      <c r="BH321" s="10">
        <f t="shared" si="118"/>
        <v>2.0600428833624171</v>
      </c>
      <c r="BI321" s="10">
        <f t="shared" si="118"/>
        <v>2.0600428833624171</v>
      </c>
    </row>
    <row r="322" spans="1:61">
      <c r="A322" s="8" t="str">
        <f t="shared" si="111"/>
        <v>Prędkość 71-80 km/h</v>
      </c>
      <c r="B322" s="129" t="s">
        <v>42</v>
      </c>
      <c r="C322" s="13"/>
      <c r="D322" s="13"/>
      <c r="E322" s="13"/>
      <c r="F322" s="13"/>
      <c r="G322" s="13"/>
      <c r="H322" s="13"/>
      <c r="I322" s="13"/>
      <c r="J322" s="13"/>
      <c r="K322" s="13"/>
      <c r="L322" s="13"/>
      <c r="M322" s="13"/>
      <c r="N322" s="13"/>
      <c r="O322" s="13"/>
      <c r="P322" s="13"/>
      <c r="Q322" s="93"/>
      <c r="R322" s="93"/>
      <c r="S322" s="93"/>
      <c r="T322" s="10">
        <f t="shared" ref="T322:BI322" si="119">($U180*$U$205*T$215)*U$57+(0)*U$58</f>
        <v>1.8917762673720642</v>
      </c>
      <c r="U322" s="10">
        <f t="shared" si="119"/>
        <v>1.9560966604627144</v>
      </c>
      <c r="V322" s="10">
        <f t="shared" si="119"/>
        <v>2.0558575901463128</v>
      </c>
      <c r="W322" s="10">
        <f t="shared" si="119"/>
        <v>2.0558575901463128</v>
      </c>
      <c r="X322" s="10">
        <f t="shared" si="119"/>
        <v>2.0558575901463128</v>
      </c>
      <c r="Y322" s="10">
        <f t="shared" si="119"/>
        <v>2.0558575901463128</v>
      </c>
      <c r="Z322" s="10">
        <f t="shared" si="119"/>
        <v>2.0558575901463128</v>
      </c>
      <c r="AA322" s="10">
        <f t="shared" si="119"/>
        <v>2.0558575901463128</v>
      </c>
      <c r="AB322" s="10">
        <f t="shared" si="119"/>
        <v>2.0558575901463128</v>
      </c>
      <c r="AC322" s="10">
        <f t="shared" si="119"/>
        <v>2.0558575901463128</v>
      </c>
      <c r="AD322" s="10">
        <f t="shared" si="119"/>
        <v>2.0558575901463128</v>
      </c>
      <c r="AE322" s="10">
        <f t="shared" si="119"/>
        <v>2.0558575901463128</v>
      </c>
      <c r="AF322" s="10">
        <f t="shared" si="119"/>
        <v>2.0558575901463128</v>
      </c>
      <c r="AG322" s="10">
        <f t="shared" si="119"/>
        <v>2.0558575901463128</v>
      </c>
      <c r="AH322" s="10">
        <f t="shared" si="119"/>
        <v>2.0558575901463128</v>
      </c>
      <c r="AI322" s="10">
        <f t="shared" si="119"/>
        <v>2.0558575901463128</v>
      </c>
      <c r="AJ322" s="10">
        <f t="shared" si="119"/>
        <v>2.0558575901463128</v>
      </c>
      <c r="AK322" s="10">
        <f t="shared" si="119"/>
        <v>2.0558575901463128</v>
      </c>
      <c r="AL322" s="10">
        <f t="shared" si="119"/>
        <v>2.0558575901463128</v>
      </c>
      <c r="AM322" s="10">
        <f t="shared" si="119"/>
        <v>2.0558575901463128</v>
      </c>
      <c r="AN322" s="10">
        <f t="shared" si="119"/>
        <v>2.0558575901463128</v>
      </c>
      <c r="AO322" s="10">
        <f t="shared" si="119"/>
        <v>2.0558575901463128</v>
      </c>
      <c r="AP322" s="10">
        <f t="shared" si="119"/>
        <v>2.0558575901463128</v>
      </c>
      <c r="AQ322" s="10">
        <f t="shared" si="119"/>
        <v>2.0558575901463128</v>
      </c>
      <c r="AR322" s="10">
        <f t="shared" si="119"/>
        <v>2.0558575901463128</v>
      </c>
      <c r="AS322" s="10">
        <f t="shared" si="119"/>
        <v>2.0558575901463128</v>
      </c>
      <c r="AT322" s="10">
        <f t="shared" si="119"/>
        <v>2.0558575901463128</v>
      </c>
      <c r="AU322" s="10">
        <f t="shared" si="119"/>
        <v>2.0558575901463128</v>
      </c>
      <c r="AV322" s="10">
        <f t="shared" si="119"/>
        <v>2.0558575901463128</v>
      </c>
      <c r="AW322" s="10">
        <f t="shared" si="119"/>
        <v>2.0558575901463128</v>
      </c>
      <c r="AX322" s="10">
        <f t="shared" si="119"/>
        <v>2.0558575901463128</v>
      </c>
      <c r="AY322" s="10">
        <f t="shared" si="119"/>
        <v>2.0558575901463128</v>
      </c>
      <c r="AZ322" s="10">
        <f t="shared" si="119"/>
        <v>2.0558575901463128</v>
      </c>
      <c r="BA322" s="10">
        <f t="shared" si="119"/>
        <v>2.0558575901463128</v>
      </c>
      <c r="BB322" s="10">
        <f t="shared" si="119"/>
        <v>2.0558575901463128</v>
      </c>
      <c r="BC322" s="10">
        <f t="shared" si="119"/>
        <v>2.0558575901463128</v>
      </c>
      <c r="BD322" s="10">
        <f t="shared" si="119"/>
        <v>2.0558575901463128</v>
      </c>
      <c r="BE322" s="10">
        <f t="shared" si="119"/>
        <v>2.0558575901463128</v>
      </c>
      <c r="BF322" s="10">
        <f t="shared" si="119"/>
        <v>2.0558575901463128</v>
      </c>
      <c r="BG322" s="10">
        <f t="shared" si="119"/>
        <v>2.0558575901463128</v>
      </c>
      <c r="BH322" s="10">
        <f t="shared" si="119"/>
        <v>2.0558575901463128</v>
      </c>
      <c r="BI322" s="10">
        <f t="shared" si="119"/>
        <v>2.0558575901463128</v>
      </c>
    </row>
    <row r="323" spans="1:61">
      <c r="A323" s="8" t="str">
        <f t="shared" si="111"/>
        <v>Prędkość 81-90 km/h</v>
      </c>
      <c r="B323" s="129" t="s">
        <v>42</v>
      </c>
      <c r="C323" s="13"/>
      <c r="D323" s="13"/>
      <c r="E323" s="13"/>
      <c r="F323" s="13"/>
      <c r="G323" s="13"/>
      <c r="H323" s="13"/>
      <c r="I323" s="13"/>
      <c r="J323" s="13"/>
      <c r="K323" s="13"/>
      <c r="L323" s="13"/>
      <c r="M323" s="13"/>
      <c r="N323" s="13"/>
      <c r="O323" s="13"/>
      <c r="P323" s="13"/>
      <c r="Q323" s="93"/>
      <c r="R323" s="93"/>
      <c r="S323" s="93"/>
      <c r="T323" s="10">
        <f t="shared" ref="T323:BI323" si="120">($U181*$U$205*T$215)*U$57+(0)*U$58</f>
        <v>1.8960749225492468</v>
      </c>
      <c r="U323" s="10">
        <f t="shared" si="120"/>
        <v>1.9605414699159212</v>
      </c>
      <c r="V323" s="10">
        <f t="shared" si="120"/>
        <v>2.0605290848816331</v>
      </c>
      <c r="W323" s="10">
        <f t="shared" si="120"/>
        <v>2.0605290848816331</v>
      </c>
      <c r="X323" s="10">
        <f t="shared" si="120"/>
        <v>2.0605290848816331</v>
      </c>
      <c r="Y323" s="10">
        <f t="shared" si="120"/>
        <v>2.0605290848816331</v>
      </c>
      <c r="Z323" s="10">
        <f t="shared" si="120"/>
        <v>2.0605290848816331</v>
      </c>
      <c r="AA323" s="10">
        <f t="shared" si="120"/>
        <v>2.0605290848816331</v>
      </c>
      <c r="AB323" s="10">
        <f t="shared" si="120"/>
        <v>2.0605290848816331</v>
      </c>
      <c r="AC323" s="10">
        <f t="shared" si="120"/>
        <v>2.0605290848816331</v>
      </c>
      <c r="AD323" s="10">
        <f t="shared" si="120"/>
        <v>2.0605290848816331</v>
      </c>
      <c r="AE323" s="10">
        <f t="shared" si="120"/>
        <v>2.0605290848816331</v>
      </c>
      <c r="AF323" s="10">
        <f t="shared" si="120"/>
        <v>2.0605290848816331</v>
      </c>
      <c r="AG323" s="10">
        <f t="shared" si="120"/>
        <v>2.0605290848816331</v>
      </c>
      <c r="AH323" s="10">
        <f t="shared" si="120"/>
        <v>2.0605290848816331</v>
      </c>
      <c r="AI323" s="10">
        <f t="shared" si="120"/>
        <v>2.0605290848816331</v>
      </c>
      <c r="AJ323" s="10">
        <f t="shared" si="120"/>
        <v>2.0605290848816331</v>
      </c>
      <c r="AK323" s="10">
        <f t="shared" si="120"/>
        <v>2.0605290848816331</v>
      </c>
      <c r="AL323" s="10">
        <f t="shared" si="120"/>
        <v>2.0605290848816331</v>
      </c>
      <c r="AM323" s="10">
        <f t="shared" si="120"/>
        <v>2.0605290848816331</v>
      </c>
      <c r="AN323" s="10">
        <f t="shared" si="120"/>
        <v>2.0605290848816331</v>
      </c>
      <c r="AO323" s="10">
        <f t="shared" si="120"/>
        <v>2.0605290848816331</v>
      </c>
      <c r="AP323" s="10">
        <f t="shared" si="120"/>
        <v>2.0605290848816331</v>
      </c>
      <c r="AQ323" s="10">
        <f t="shared" si="120"/>
        <v>2.0605290848816331</v>
      </c>
      <c r="AR323" s="10">
        <f t="shared" si="120"/>
        <v>2.0605290848816331</v>
      </c>
      <c r="AS323" s="10">
        <f t="shared" si="120"/>
        <v>2.0605290848816331</v>
      </c>
      <c r="AT323" s="10">
        <f t="shared" si="120"/>
        <v>2.0605290848816331</v>
      </c>
      <c r="AU323" s="10">
        <f t="shared" si="120"/>
        <v>2.0605290848816331</v>
      </c>
      <c r="AV323" s="10">
        <f t="shared" si="120"/>
        <v>2.0605290848816331</v>
      </c>
      <c r="AW323" s="10">
        <f t="shared" si="120"/>
        <v>2.0605290848816331</v>
      </c>
      <c r="AX323" s="10">
        <f t="shared" si="120"/>
        <v>2.0605290848816331</v>
      </c>
      <c r="AY323" s="10">
        <f t="shared" si="120"/>
        <v>2.0605290848816331</v>
      </c>
      <c r="AZ323" s="10">
        <f t="shared" si="120"/>
        <v>2.0605290848816331</v>
      </c>
      <c r="BA323" s="10">
        <f t="shared" si="120"/>
        <v>2.0605290848816331</v>
      </c>
      <c r="BB323" s="10">
        <f t="shared" si="120"/>
        <v>2.0605290848816331</v>
      </c>
      <c r="BC323" s="10">
        <f t="shared" si="120"/>
        <v>2.0605290848816331</v>
      </c>
      <c r="BD323" s="10">
        <f t="shared" si="120"/>
        <v>2.0605290848816331</v>
      </c>
      <c r="BE323" s="10">
        <f t="shared" si="120"/>
        <v>2.0605290848816331</v>
      </c>
      <c r="BF323" s="10">
        <f t="shared" si="120"/>
        <v>2.0605290848816331</v>
      </c>
      <c r="BG323" s="10">
        <f t="shared" si="120"/>
        <v>2.0605290848816331</v>
      </c>
      <c r="BH323" s="10">
        <f t="shared" si="120"/>
        <v>2.0605290848816331</v>
      </c>
      <c r="BI323" s="10">
        <f t="shared" si="120"/>
        <v>2.0605290848816331</v>
      </c>
    </row>
    <row r="324" spans="1:61">
      <c r="A324" s="8" t="str">
        <f t="shared" si="111"/>
        <v>Prędkość 91-100 km/h</v>
      </c>
      <c r="B324" s="129" t="s">
        <v>42</v>
      </c>
      <c r="C324" s="13"/>
      <c r="D324" s="13"/>
      <c r="E324" s="13"/>
      <c r="F324" s="13"/>
      <c r="G324" s="13"/>
      <c r="H324" s="13"/>
      <c r="I324" s="13"/>
      <c r="J324" s="13"/>
      <c r="K324" s="13"/>
      <c r="L324" s="13"/>
      <c r="M324" s="13"/>
      <c r="N324" s="13"/>
      <c r="O324" s="13"/>
      <c r="P324" s="13"/>
      <c r="Q324" s="93"/>
      <c r="R324" s="93"/>
      <c r="S324" s="93"/>
      <c r="T324" s="10">
        <f t="shared" ref="T324:BI324" si="121">($U182*$U$205*T$215)*U$57+(0)*U$58</f>
        <v>1.9124682866743843</v>
      </c>
      <c r="U324" s="10">
        <f t="shared" si="121"/>
        <v>1.9774922084213133</v>
      </c>
      <c r="V324" s="10">
        <f t="shared" si="121"/>
        <v>2.0783443110508002</v>
      </c>
      <c r="W324" s="10">
        <f t="shared" si="121"/>
        <v>2.0783443110508002</v>
      </c>
      <c r="X324" s="10">
        <f t="shared" si="121"/>
        <v>2.0783443110508002</v>
      </c>
      <c r="Y324" s="10">
        <f t="shared" si="121"/>
        <v>2.0783443110508002</v>
      </c>
      <c r="Z324" s="10">
        <f t="shared" si="121"/>
        <v>2.0783443110508002</v>
      </c>
      <c r="AA324" s="10">
        <f t="shared" si="121"/>
        <v>2.0783443110508002</v>
      </c>
      <c r="AB324" s="10">
        <f t="shared" si="121"/>
        <v>2.0783443110508002</v>
      </c>
      <c r="AC324" s="10">
        <f t="shared" si="121"/>
        <v>2.0783443110508002</v>
      </c>
      <c r="AD324" s="10">
        <f t="shared" si="121"/>
        <v>2.0783443110508002</v>
      </c>
      <c r="AE324" s="10">
        <f t="shared" si="121"/>
        <v>2.0783443110508002</v>
      </c>
      <c r="AF324" s="10">
        <f t="shared" si="121"/>
        <v>2.0783443110508002</v>
      </c>
      <c r="AG324" s="10">
        <f t="shared" si="121"/>
        <v>2.0783443110508002</v>
      </c>
      <c r="AH324" s="10">
        <f t="shared" si="121"/>
        <v>2.0783443110508002</v>
      </c>
      <c r="AI324" s="10">
        <f t="shared" si="121"/>
        <v>2.0783443110508002</v>
      </c>
      <c r="AJ324" s="10">
        <f t="shared" si="121"/>
        <v>2.0783443110508002</v>
      </c>
      <c r="AK324" s="10">
        <f t="shared" si="121"/>
        <v>2.0783443110508002</v>
      </c>
      <c r="AL324" s="10">
        <f t="shared" si="121"/>
        <v>2.0783443110508002</v>
      </c>
      <c r="AM324" s="10">
        <f t="shared" si="121"/>
        <v>2.0783443110508002</v>
      </c>
      <c r="AN324" s="10">
        <f t="shared" si="121"/>
        <v>2.0783443110508002</v>
      </c>
      <c r="AO324" s="10">
        <f t="shared" si="121"/>
        <v>2.0783443110508002</v>
      </c>
      <c r="AP324" s="10">
        <f t="shared" si="121"/>
        <v>2.0783443110508002</v>
      </c>
      <c r="AQ324" s="10">
        <f t="shared" si="121"/>
        <v>2.0783443110508002</v>
      </c>
      <c r="AR324" s="10">
        <f t="shared" si="121"/>
        <v>2.0783443110508002</v>
      </c>
      <c r="AS324" s="10">
        <f t="shared" si="121"/>
        <v>2.0783443110508002</v>
      </c>
      <c r="AT324" s="10">
        <f t="shared" si="121"/>
        <v>2.0783443110508002</v>
      </c>
      <c r="AU324" s="10">
        <f t="shared" si="121"/>
        <v>2.0783443110508002</v>
      </c>
      <c r="AV324" s="10">
        <f t="shared" si="121"/>
        <v>2.0783443110508002</v>
      </c>
      <c r="AW324" s="10">
        <f t="shared" si="121"/>
        <v>2.0783443110508002</v>
      </c>
      <c r="AX324" s="10">
        <f t="shared" si="121"/>
        <v>2.0783443110508002</v>
      </c>
      <c r="AY324" s="10">
        <f t="shared" si="121"/>
        <v>2.0783443110508002</v>
      </c>
      <c r="AZ324" s="10">
        <f t="shared" si="121"/>
        <v>2.0783443110508002</v>
      </c>
      <c r="BA324" s="10">
        <f t="shared" si="121"/>
        <v>2.0783443110508002</v>
      </c>
      <c r="BB324" s="10">
        <f t="shared" si="121"/>
        <v>2.0783443110508002</v>
      </c>
      <c r="BC324" s="10">
        <f t="shared" si="121"/>
        <v>2.0783443110508002</v>
      </c>
      <c r="BD324" s="10">
        <f t="shared" si="121"/>
        <v>2.0783443110508002</v>
      </c>
      <c r="BE324" s="10">
        <f t="shared" si="121"/>
        <v>2.0783443110508002</v>
      </c>
      <c r="BF324" s="10">
        <f t="shared" si="121"/>
        <v>2.0783443110508002</v>
      </c>
      <c r="BG324" s="10">
        <f t="shared" si="121"/>
        <v>2.0783443110508002</v>
      </c>
      <c r="BH324" s="10">
        <f t="shared" si="121"/>
        <v>2.0783443110508002</v>
      </c>
      <c r="BI324" s="10">
        <f t="shared" si="121"/>
        <v>2.0783443110508002</v>
      </c>
    </row>
    <row r="325" spans="1:61">
      <c r="A325" s="8" t="str">
        <f t="shared" si="111"/>
        <v>Prędkość 101-110 km/h</v>
      </c>
      <c r="B325" s="129" t="s">
        <v>42</v>
      </c>
      <c r="C325" s="13"/>
      <c r="D325" s="13"/>
      <c r="E325" s="13"/>
      <c r="F325" s="13"/>
      <c r="G325" s="13"/>
      <c r="H325" s="13"/>
      <c r="I325" s="13"/>
      <c r="J325" s="13"/>
      <c r="K325" s="13"/>
      <c r="L325" s="13"/>
      <c r="M325" s="13"/>
      <c r="N325" s="13"/>
      <c r="O325" s="13"/>
      <c r="P325" s="13"/>
      <c r="Q325" s="93"/>
      <c r="R325" s="93"/>
      <c r="S325" s="93"/>
      <c r="T325" s="10">
        <f t="shared" ref="T325:BI325" si="122">($U183*$U$205*T$215)*U$57+(0)*U$58</f>
        <v>1.9817147269141757</v>
      </c>
      <c r="U325" s="10">
        <f t="shared" si="122"/>
        <v>2.0490930276292576</v>
      </c>
      <c r="V325" s="10">
        <f t="shared" si="122"/>
        <v>2.1535967720383495</v>
      </c>
      <c r="W325" s="10">
        <f t="shared" si="122"/>
        <v>2.1535967720383495</v>
      </c>
      <c r="X325" s="10">
        <f t="shared" si="122"/>
        <v>2.1535967720383495</v>
      </c>
      <c r="Y325" s="10">
        <f t="shared" si="122"/>
        <v>2.1535967720383495</v>
      </c>
      <c r="Z325" s="10">
        <f t="shared" si="122"/>
        <v>2.1535967720383495</v>
      </c>
      <c r="AA325" s="10">
        <f t="shared" si="122"/>
        <v>2.1535967720383495</v>
      </c>
      <c r="AB325" s="10">
        <f t="shared" si="122"/>
        <v>2.1535967720383495</v>
      </c>
      <c r="AC325" s="10">
        <f t="shared" si="122"/>
        <v>2.1535967720383495</v>
      </c>
      <c r="AD325" s="10">
        <f t="shared" si="122"/>
        <v>2.1535967720383495</v>
      </c>
      <c r="AE325" s="10">
        <f t="shared" si="122"/>
        <v>2.1535967720383495</v>
      </c>
      <c r="AF325" s="10">
        <f t="shared" si="122"/>
        <v>2.1535967720383495</v>
      </c>
      <c r="AG325" s="10">
        <f t="shared" si="122"/>
        <v>2.1535967720383495</v>
      </c>
      <c r="AH325" s="10">
        <f t="shared" si="122"/>
        <v>2.1535967720383495</v>
      </c>
      <c r="AI325" s="10">
        <f t="shared" si="122"/>
        <v>2.1535967720383495</v>
      </c>
      <c r="AJ325" s="10">
        <f t="shared" si="122"/>
        <v>2.1535967720383495</v>
      </c>
      <c r="AK325" s="10">
        <f t="shared" si="122"/>
        <v>2.1535967720383495</v>
      </c>
      <c r="AL325" s="10">
        <f t="shared" si="122"/>
        <v>2.1535967720383495</v>
      </c>
      <c r="AM325" s="10">
        <f t="shared" si="122"/>
        <v>2.1535967720383495</v>
      </c>
      <c r="AN325" s="10">
        <f t="shared" si="122"/>
        <v>2.1535967720383495</v>
      </c>
      <c r="AO325" s="10">
        <f t="shared" si="122"/>
        <v>2.1535967720383495</v>
      </c>
      <c r="AP325" s="10">
        <f t="shared" si="122"/>
        <v>2.1535967720383495</v>
      </c>
      <c r="AQ325" s="10">
        <f t="shared" si="122"/>
        <v>2.1535967720383495</v>
      </c>
      <c r="AR325" s="10">
        <f t="shared" si="122"/>
        <v>2.1535967720383495</v>
      </c>
      <c r="AS325" s="10">
        <f t="shared" si="122"/>
        <v>2.1535967720383495</v>
      </c>
      <c r="AT325" s="10">
        <f t="shared" si="122"/>
        <v>2.1535967720383495</v>
      </c>
      <c r="AU325" s="10">
        <f t="shared" si="122"/>
        <v>2.1535967720383495</v>
      </c>
      <c r="AV325" s="10">
        <f t="shared" si="122"/>
        <v>2.1535967720383495</v>
      </c>
      <c r="AW325" s="10">
        <f t="shared" si="122"/>
        <v>2.1535967720383495</v>
      </c>
      <c r="AX325" s="10">
        <f t="shared" si="122"/>
        <v>2.1535967720383495</v>
      </c>
      <c r="AY325" s="10">
        <f t="shared" si="122"/>
        <v>2.1535967720383495</v>
      </c>
      <c r="AZ325" s="10">
        <f t="shared" si="122"/>
        <v>2.1535967720383495</v>
      </c>
      <c r="BA325" s="10">
        <f t="shared" si="122"/>
        <v>2.1535967720383495</v>
      </c>
      <c r="BB325" s="10">
        <f t="shared" si="122"/>
        <v>2.1535967720383495</v>
      </c>
      <c r="BC325" s="10">
        <f t="shared" si="122"/>
        <v>2.1535967720383495</v>
      </c>
      <c r="BD325" s="10">
        <f t="shared" si="122"/>
        <v>2.1535967720383495</v>
      </c>
      <c r="BE325" s="10">
        <f t="shared" si="122"/>
        <v>2.1535967720383495</v>
      </c>
      <c r="BF325" s="10">
        <f t="shared" si="122"/>
        <v>2.1535967720383495</v>
      </c>
      <c r="BG325" s="10">
        <f t="shared" si="122"/>
        <v>2.1535967720383495</v>
      </c>
      <c r="BH325" s="10">
        <f t="shared" si="122"/>
        <v>2.1535967720383495</v>
      </c>
      <c r="BI325" s="10">
        <f t="shared" si="122"/>
        <v>2.1535967720383495</v>
      </c>
    </row>
    <row r="326" spans="1:61">
      <c r="A326" s="8" t="str">
        <f t="shared" si="111"/>
        <v>Prędkość 111-120 km/h</v>
      </c>
      <c r="B326" s="129" t="s">
        <v>42</v>
      </c>
      <c r="C326" s="13"/>
      <c r="D326" s="13"/>
      <c r="E326" s="13"/>
      <c r="F326" s="13"/>
      <c r="G326" s="13"/>
      <c r="H326" s="13"/>
      <c r="I326" s="13"/>
      <c r="J326" s="13"/>
      <c r="K326" s="13"/>
      <c r="L326" s="13"/>
      <c r="M326" s="13"/>
      <c r="N326" s="13"/>
      <c r="O326" s="13"/>
      <c r="P326" s="13"/>
      <c r="Q326" s="93"/>
      <c r="R326" s="93"/>
      <c r="S326" s="93"/>
      <c r="T326" s="10">
        <f t="shared" ref="T326:BI326" si="123">($U184*$U$205*T$215)*U$57+(0)*U$58</f>
        <v>2.0509611671539671</v>
      </c>
      <c r="U326" s="10">
        <f t="shared" si="123"/>
        <v>2.1206938468372023</v>
      </c>
      <c r="V326" s="10">
        <f t="shared" si="123"/>
        <v>2.2288492330258989</v>
      </c>
      <c r="W326" s="10">
        <f t="shared" si="123"/>
        <v>2.2288492330258989</v>
      </c>
      <c r="X326" s="10">
        <f t="shared" si="123"/>
        <v>2.2288492330258989</v>
      </c>
      <c r="Y326" s="10">
        <f t="shared" si="123"/>
        <v>2.2288492330258989</v>
      </c>
      <c r="Z326" s="10">
        <f t="shared" si="123"/>
        <v>2.2288492330258989</v>
      </c>
      <c r="AA326" s="10">
        <f t="shared" si="123"/>
        <v>2.2288492330258989</v>
      </c>
      <c r="AB326" s="10">
        <f t="shared" si="123"/>
        <v>2.2288492330258989</v>
      </c>
      <c r="AC326" s="10">
        <f t="shared" si="123"/>
        <v>2.2288492330258989</v>
      </c>
      <c r="AD326" s="10">
        <f t="shared" si="123"/>
        <v>2.2288492330258989</v>
      </c>
      <c r="AE326" s="10">
        <f t="shared" si="123"/>
        <v>2.2288492330258989</v>
      </c>
      <c r="AF326" s="10">
        <f t="shared" si="123"/>
        <v>2.2288492330258989</v>
      </c>
      <c r="AG326" s="10">
        <f t="shared" si="123"/>
        <v>2.2288492330258989</v>
      </c>
      <c r="AH326" s="10">
        <f t="shared" si="123"/>
        <v>2.2288492330258989</v>
      </c>
      <c r="AI326" s="10">
        <f t="shared" si="123"/>
        <v>2.2288492330258989</v>
      </c>
      <c r="AJ326" s="10">
        <f t="shared" si="123"/>
        <v>2.2288492330258989</v>
      </c>
      <c r="AK326" s="10">
        <f t="shared" si="123"/>
        <v>2.2288492330258989</v>
      </c>
      <c r="AL326" s="10">
        <f t="shared" si="123"/>
        <v>2.2288492330258989</v>
      </c>
      <c r="AM326" s="10">
        <f t="shared" si="123"/>
        <v>2.2288492330258989</v>
      </c>
      <c r="AN326" s="10">
        <f t="shared" si="123"/>
        <v>2.2288492330258989</v>
      </c>
      <c r="AO326" s="10">
        <f t="shared" si="123"/>
        <v>2.2288492330258989</v>
      </c>
      <c r="AP326" s="10">
        <f t="shared" si="123"/>
        <v>2.2288492330258989</v>
      </c>
      <c r="AQ326" s="10">
        <f t="shared" si="123"/>
        <v>2.2288492330258989</v>
      </c>
      <c r="AR326" s="10">
        <f t="shared" si="123"/>
        <v>2.2288492330258989</v>
      </c>
      <c r="AS326" s="10">
        <f t="shared" si="123"/>
        <v>2.2288492330258989</v>
      </c>
      <c r="AT326" s="10">
        <f t="shared" si="123"/>
        <v>2.2288492330258989</v>
      </c>
      <c r="AU326" s="10">
        <f t="shared" si="123"/>
        <v>2.2288492330258989</v>
      </c>
      <c r="AV326" s="10">
        <f t="shared" si="123"/>
        <v>2.2288492330258989</v>
      </c>
      <c r="AW326" s="10">
        <f t="shared" si="123"/>
        <v>2.2288492330258989</v>
      </c>
      <c r="AX326" s="10">
        <f t="shared" si="123"/>
        <v>2.2288492330258989</v>
      </c>
      <c r="AY326" s="10">
        <f t="shared" si="123"/>
        <v>2.2288492330258989</v>
      </c>
      <c r="AZ326" s="10">
        <f t="shared" si="123"/>
        <v>2.2288492330258989</v>
      </c>
      <c r="BA326" s="10">
        <f t="shared" si="123"/>
        <v>2.2288492330258989</v>
      </c>
      <c r="BB326" s="10">
        <f t="shared" si="123"/>
        <v>2.2288492330258989</v>
      </c>
      <c r="BC326" s="10">
        <f t="shared" si="123"/>
        <v>2.2288492330258989</v>
      </c>
      <c r="BD326" s="10">
        <f t="shared" si="123"/>
        <v>2.2288492330258989</v>
      </c>
      <c r="BE326" s="10">
        <f t="shared" si="123"/>
        <v>2.2288492330258989</v>
      </c>
      <c r="BF326" s="10">
        <f t="shared" si="123"/>
        <v>2.2288492330258989</v>
      </c>
      <c r="BG326" s="10">
        <f t="shared" si="123"/>
        <v>2.2288492330258989</v>
      </c>
      <c r="BH326" s="10">
        <f t="shared" si="123"/>
        <v>2.2288492330258989</v>
      </c>
      <c r="BI326" s="10">
        <f t="shared" si="123"/>
        <v>2.2288492330258989</v>
      </c>
    </row>
    <row r="327" spans="1:61">
      <c r="A327" s="8" t="str">
        <f t="shared" si="111"/>
        <v>Prędkość 121-130 km/h</v>
      </c>
      <c r="B327" s="129" t="s">
        <v>42</v>
      </c>
      <c r="C327" s="13"/>
      <c r="D327" s="13"/>
      <c r="E327" s="13"/>
      <c r="F327" s="13"/>
      <c r="G327" s="13"/>
      <c r="H327" s="13"/>
      <c r="I327" s="13"/>
      <c r="J327" s="13"/>
      <c r="K327" s="13"/>
      <c r="L327" s="13"/>
      <c r="M327" s="13"/>
      <c r="N327" s="13"/>
      <c r="O327" s="13"/>
      <c r="P327" s="13"/>
      <c r="Q327" s="93"/>
      <c r="R327" s="93"/>
      <c r="S327" s="93"/>
      <c r="T327" s="10">
        <f t="shared" ref="T327:BI327" si="124">($U185*$U$205*T$215)*U$57+(0)*U$58</f>
        <v>2.1202076073937581</v>
      </c>
      <c r="U327" s="10">
        <f t="shared" si="124"/>
        <v>2.1922946660451461</v>
      </c>
      <c r="V327" s="10">
        <f t="shared" si="124"/>
        <v>2.3041016940134482</v>
      </c>
      <c r="W327" s="10">
        <f t="shared" si="124"/>
        <v>2.3041016940134482</v>
      </c>
      <c r="X327" s="10">
        <f t="shared" si="124"/>
        <v>2.3041016940134482</v>
      </c>
      <c r="Y327" s="10">
        <f t="shared" si="124"/>
        <v>2.3041016940134482</v>
      </c>
      <c r="Z327" s="10">
        <f t="shared" si="124"/>
        <v>2.3041016940134482</v>
      </c>
      <c r="AA327" s="10">
        <f t="shared" si="124"/>
        <v>2.3041016940134482</v>
      </c>
      <c r="AB327" s="10">
        <f t="shared" si="124"/>
        <v>2.3041016940134482</v>
      </c>
      <c r="AC327" s="10">
        <f t="shared" si="124"/>
        <v>2.3041016940134482</v>
      </c>
      <c r="AD327" s="10">
        <f t="shared" si="124"/>
        <v>2.3041016940134482</v>
      </c>
      <c r="AE327" s="10">
        <f t="shared" si="124"/>
        <v>2.3041016940134482</v>
      </c>
      <c r="AF327" s="10">
        <f t="shared" si="124"/>
        <v>2.3041016940134482</v>
      </c>
      <c r="AG327" s="10">
        <f t="shared" si="124"/>
        <v>2.3041016940134482</v>
      </c>
      <c r="AH327" s="10">
        <f t="shared" si="124"/>
        <v>2.3041016940134482</v>
      </c>
      <c r="AI327" s="10">
        <f t="shared" si="124"/>
        <v>2.3041016940134482</v>
      </c>
      <c r="AJ327" s="10">
        <f t="shared" si="124"/>
        <v>2.3041016940134482</v>
      </c>
      <c r="AK327" s="10">
        <f t="shared" si="124"/>
        <v>2.3041016940134482</v>
      </c>
      <c r="AL327" s="10">
        <f t="shared" si="124"/>
        <v>2.3041016940134482</v>
      </c>
      <c r="AM327" s="10">
        <f t="shared" si="124"/>
        <v>2.3041016940134482</v>
      </c>
      <c r="AN327" s="10">
        <f t="shared" si="124"/>
        <v>2.3041016940134482</v>
      </c>
      <c r="AO327" s="10">
        <f t="shared" si="124"/>
        <v>2.3041016940134482</v>
      </c>
      <c r="AP327" s="10">
        <f t="shared" si="124"/>
        <v>2.3041016940134482</v>
      </c>
      <c r="AQ327" s="10">
        <f t="shared" si="124"/>
        <v>2.3041016940134482</v>
      </c>
      <c r="AR327" s="10">
        <f t="shared" si="124"/>
        <v>2.3041016940134482</v>
      </c>
      <c r="AS327" s="10">
        <f t="shared" si="124"/>
        <v>2.3041016940134482</v>
      </c>
      <c r="AT327" s="10">
        <f t="shared" si="124"/>
        <v>2.3041016940134482</v>
      </c>
      <c r="AU327" s="10">
        <f t="shared" si="124"/>
        <v>2.3041016940134482</v>
      </c>
      <c r="AV327" s="10">
        <f t="shared" si="124"/>
        <v>2.3041016940134482</v>
      </c>
      <c r="AW327" s="10">
        <f t="shared" si="124"/>
        <v>2.3041016940134482</v>
      </c>
      <c r="AX327" s="10">
        <f t="shared" si="124"/>
        <v>2.3041016940134482</v>
      </c>
      <c r="AY327" s="10">
        <f t="shared" si="124"/>
        <v>2.3041016940134482</v>
      </c>
      <c r="AZ327" s="10">
        <f t="shared" si="124"/>
        <v>2.3041016940134482</v>
      </c>
      <c r="BA327" s="10">
        <f t="shared" si="124"/>
        <v>2.3041016940134482</v>
      </c>
      <c r="BB327" s="10">
        <f t="shared" si="124"/>
        <v>2.3041016940134482</v>
      </c>
      <c r="BC327" s="10">
        <f t="shared" si="124"/>
        <v>2.3041016940134482</v>
      </c>
      <c r="BD327" s="10">
        <f t="shared" si="124"/>
        <v>2.3041016940134482</v>
      </c>
      <c r="BE327" s="10">
        <f t="shared" si="124"/>
        <v>2.3041016940134482</v>
      </c>
      <c r="BF327" s="10">
        <f t="shared" si="124"/>
        <v>2.3041016940134482</v>
      </c>
      <c r="BG327" s="10">
        <f t="shared" si="124"/>
        <v>2.3041016940134482</v>
      </c>
      <c r="BH327" s="10">
        <f t="shared" si="124"/>
        <v>2.3041016940134482</v>
      </c>
      <c r="BI327" s="10">
        <f t="shared" si="124"/>
        <v>2.3041016940134482</v>
      </c>
    </row>
    <row r="328" spans="1:61">
      <c r="A328" s="8" t="str">
        <f t="shared" si="111"/>
        <v>Prędkość 131-140 km/h</v>
      </c>
      <c r="B328" s="129" t="s">
        <v>42</v>
      </c>
      <c r="C328" s="13"/>
      <c r="D328" s="13"/>
      <c r="E328" s="13"/>
      <c r="F328" s="13"/>
      <c r="G328" s="13"/>
      <c r="H328" s="13"/>
      <c r="I328" s="13"/>
      <c r="J328" s="13"/>
      <c r="K328" s="13"/>
      <c r="L328" s="13"/>
      <c r="M328" s="13"/>
      <c r="N328" s="13"/>
      <c r="O328" s="13"/>
      <c r="P328" s="13"/>
      <c r="Q328" s="93"/>
      <c r="R328" s="93"/>
      <c r="S328" s="93"/>
      <c r="T328" s="10">
        <f t="shared" ref="T328:BI328" si="125">($U186*$U$205*T$215)*U$57+(0)*U$58</f>
        <v>2.1894540476335491</v>
      </c>
      <c r="U328" s="10">
        <f t="shared" si="125"/>
        <v>2.2638954852530899</v>
      </c>
      <c r="V328" s="10">
        <f t="shared" si="125"/>
        <v>2.3793541550009971</v>
      </c>
      <c r="W328" s="10">
        <f t="shared" si="125"/>
        <v>2.3793541550009971</v>
      </c>
      <c r="X328" s="10">
        <f t="shared" si="125"/>
        <v>2.3793541550009971</v>
      </c>
      <c r="Y328" s="10">
        <f t="shared" si="125"/>
        <v>2.3793541550009971</v>
      </c>
      <c r="Z328" s="10">
        <f t="shared" si="125"/>
        <v>2.3793541550009971</v>
      </c>
      <c r="AA328" s="10">
        <f t="shared" si="125"/>
        <v>2.3793541550009971</v>
      </c>
      <c r="AB328" s="10">
        <f t="shared" si="125"/>
        <v>2.3793541550009971</v>
      </c>
      <c r="AC328" s="10">
        <f t="shared" si="125"/>
        <v>2.3793541550009971</v>
      </c>
      <c r="AD328" s="10">
        <f t="shared" si="125"/>
        <v>2.3793541550009971</v>
      </c>
      <c r="AE328" s="10">
        <f t="shared" si="125"/>
        <v>2.3793541550009971</v>
      </c>
      <c r="AF328" s="10">
        <f t="shared" si="125"/>
        <v>2.3793541550009971</v>
      </c>
      <c r="AG328" s="10">
        <f t="shared" si="125"/>
        <v>2.3793541550009971</v>
      </c>
      <c r="AH328" s="10">
        <f t="shared" si="125"/>
        <v>2.3793541550009971</v>
      </c>
      <c r="AI328" s="10">
        <f t="shared" si="125"/>
        <v>2.3793541550009971</v>
      </c>
      <c r="AJ328" s="10">
        <f t="shared" si="125"/>
        <v>2.3793541550009971</v>
      </c>
      <c r="AK328" s="10">
        <f t="shared" si="125"/>
        <v>2.3793541550009971</v>
      </c>
      <c r="AL328" s="10">
        <f t="shared" si="125"/>
        <v>2.3793541550009971</v>
      </c>
      <c r="AM328" s="10">
        <f t="shared" si="125"/>
        <v>2.3793541550009971</v>
      </c>
      <c r="AN328" s="10">
        <f t="shared" si="125"/>
        <v>2.3793541550009971</v>
      </c>
      <c r="AO328" s="10">
        <f t="shared" si="125"/>
        <v>2.3793541550009971</v>
      </c>
      <c r="AP328" s="10">
        <f t="shared" si="125"/>
        <v>2.3793541550009971</v>
      </c>
      <c r="AQ328" s="10">
        <f t="shared" si="125"/>
        <v>2.3793541550009971</v>
      </c>
      <c r="AR328" s="10">
        <f t="shared" si="125"/>
        <v>2.3793541550009971</v>
      </c>
      <c r="AS328" s="10">
        <f t="shared" si="125"/>
        <v>2.3793541550009971</v>
      </c>
      <c r="AT328" s="10">
        <f t="shared" si="125"/>
        <v>2.3793541550009971</v>
      </c>
      <c r="AU328" s="10">
        <f t="shared" si="125"/>
        <v>2.3793541550009971</v>
      </c>
      <c r="AV328" s="10">
        <f t="shared" si="125"/>
        <v>2.3793541550009971</v>
      </c>
      <c r="AW328" s="10">
        <f t="shared" si="125"/>
        <v>2.3793541550009971</v>
      </c>
      <c r="AX328" s="10">
        <f t="shared" si="125"/>
        <v>2.3793541550009971</v>
      </c>
      <c r="AY328" s="10">
        <f t="shared" si="125"/>
        <v>2.3793541550009971</v>
      </c>
      <c r="AZ328" s="10">
        <f t="shared" si="125"/>
        <v>2.3793541550009971</v>
      </c>
      <c r="BA328" s="10">
        <f t="shared" si="125"/>
        <v>2.3793541550009971</v>
      </c>
      <c r="BB328" s="10">
        <f t="shared" si="125"/>
        <v>2.3793541550009971</v>
      </c>
      <c r="BC328" s="10">
        <f t="shared" si="125"/>
        <v>2.3793541550009971</v>
      </c>
      <c r="BD328" s="10">
        <f t="shared" si="125"/>
        <v>2.3793541550009971</v>
      </c>
      <c r="BE328" s="10">
        <f t="shared" si="125"/>
        <v>2.3793541550009971</v>
      </c>
      <c r="BF328" s="10">
        <f t="shared" si="125"/>
        <v>2.3793541550009971</v>
      </c>
      <c r="BG328" s="10">
        <f t="shared" si="125"/>
        <v>2.3793541550009971</v>
      </c>
      <c r="BH328" s="10">
        <f t="shared" si="125"/>
        <v>2.3793541550009971</v>
      </c>
      <c r="BI328" s="10">
        <f t="shared" si="125"/>
        <v>2.3793541550009971</v>
      </c>
    </row>
    <row r="329" spans="1:61"/>
  </sheetData>
  <mergeCells count="54">
    <mergeCell ref="AD84:AG86"/>
    <mergeCell ref="A284:A285"/>
    <mergeCell ref="AN18:AO18"/>
    <mergeCell ref="S83:U83"/>
    <mergeCell ref="W83:Y83"/>
    <mergeCell ref="S251:U253"/>
    <mergeCell ref="W251:Y253"/>
    <mergeCell ref="W25:AD30"/>
    <mergeCell ref="A60:V61"/>
    <mergeCell ref="A39:V40"/>
    <mergeCell ref="A62:V63"/>
    <mergeCell ref="A68:V69"/>
    <mergeCell ref="A70:V71"/>
    <mergeCell ref="A78:V80"/>
    <mergeCell ref="A105:V106"/>
    <mergeCell ref="A221:V223"/>
    <mergeCell ref="A297:A298"/>
    <mergeCell ref="AR18:AS18"/>
    <mergeCell ref="P25:U26"/>
    <mergeCell ref="A226:A227"/>
    <mergeCell ref="S171:U171"/>
    <mergeCell ref="W170:Y170"/>
    <mergeCell ref="W171:Y171"/>
    <mergeCell ref="AL18:AM18"/>
    <mergeCell ref="AA81:AH82"/>
    <mergeCell ref="AA169:AH170"/>
    <mergeCell ref="S81:U81"/>
    <mergeCell ref="W81:Y81"/>
    <mergeCell ref="S170:U170"/>
    <mergeCell ref="S82:U82"/>
    <mergeCell ref="W82:Y82"/>
    <mergeCell ref="AD172:AG174"/>
    <mergeCell ref="A224:V225"/>
    <mergeCell ref="S191:Z192"/>
    <mergeCell ref="A219:V220"/>
    <mergeCell ref="A107:V108"/>
    <mergeCell ref="A109:V109"/>
    <mergeCell ref="S115:AB117"/>
    <mergeCell ref="S208:AB210"/>
    <mergeCell ref="A198:V199"/>
    <mergeCell ref="A200:V201"/>
    <mergeCell ref="A130:V131"/>
    <mergeCell ref="A134:V135"/>
    <mergeCell ref="A149:V151"/>
    <mergeCell ref="A165:V167"/>
    <mergeCell ref="S168:U169"/>
    <mergeCell ref="W168:Y169"/>
    <mergeCell ref="S259:AB261"/>
    <mergeCell ref="A280:V281"/>
    <mergeCell ref="A282:V283"/>
    <mergeCell ref="A293:V296"/>
    <mergeCell ref="A278:V279"/>
    <mergeCell ref="A289:V290"/>
    <mergeCell ref="A291:V292"/>
  </mergeCells>
  <conditionalFormatting sqref="T173:T186">
    <cfRule type="colorScale" priority="16">
      <colorScale>
        <cfvo type="min"/>
        <cfvo type="percentile" val="50"/>
        <cfvo type="max"/>
        <color rgb="FF63BE7B"/>
        <color rgb="FFFFEB84"/>
        <color rgb="FFF8696B"/>
      </colorScale>
    </cfRule>
  </conditionalFormatting>
  <conditionalFormatting sqref="U173:U186">
    <cfRule type="colorScale" priority="15">
      <colorScale>
        <cfvo type="min"/>
        <cfvo type="percentile" val="50"/>
        <cfvo type="max"/>
        <color rgb="FF63BE7B"/>
        <color rgb="FFFFEB84"/>
        <color rgb="FFF8696B"/>
      </colorScale>
    </cfRule>
  </conditionalFormatting>
  <conditionalFormatting sqref="X173:X186">
    <cfRule type="colorScale" priority="14">
      <colorScale>
        <cfvo type="min"/>
        <cfvo type="percentile" val="50"/>
        <cfvo type="max"/>
        <color rgb="FF63BE7B"/>
        <color rgb="FFFFEB84"/>
        <color rgb="FFF8696B"/>
      </colorScale>
    </cfRule>
  </conditionalFormatting>
  <conditionalFormatting sqref="Y173:Y186">
    <cfRule type="colorScale" priority="13">
      <colorScale>
        <cfvo type="min"/>
        <cfvo type="percentile" val="50"/>
        <cfvo type="max"/>
        <color rgb="FF63BE7B"/>
        <color rgb="FFFFEB84"/>
        <color rgb="FFF8696B"/>
      </colorScale>
    </cfRule>
  </conditionalFormatting>
  <conditionalFormatting sqref="T85:T98">
    <cfRule type="colorScale" priority="4">
      <colorScale>
        <cfvo type="min"/>
        <cfvo type="percentile" val="50"/>
        <cfvo type="max"/>
        <color rgb="FF63BE7B"/>
        <color rgb="FFFFEB84"/>
        <color rgb="FFF8696B"/>
      </colorScale>
    </cfRule>
  </conditionalFormatting>
  <conditionalFormatting sqref="U85:U98">
    <cfRule type="colorScale" priority="3">
      <colorScale>
        <cfvo type="min"/>
        <cfvo type="percentile" val="50"/>
        <cfvo type="max"/>
        <color rgb="FF63BE7B"/>
        <color rgb="FFFFEB84"/>
        <color rgb="FFF8696B"/>
      </colorScale>
    </cfRule>
  </conditionalFormatting>
  <conditionalFormatting sqref="X85:X98">
    <cfRule type="colorScale" priority="2">
      <colorScale>
        <cfvo type="min"/>
        <cfvo type="percentile" val="50"/>
        <cfvo type="max"/>
        <color rgb="FF63BE7B"/>
        <color rgb="FFFFEB84"/>
        <color rgb="FFF8696B"/>
      </colorScale>
    </cfRule>
  </conditionalFormatting>
  <conditionalFormatting sqref="Y85:Y98">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5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9.140625" customWidth="1" collapsed="1"/>
    <col min="17" max="18" width="9.140625" customWidth="1"/>
    <col min="19" max="19" width="13.7109375" customWidth="1"/>
    <col min="20" max="20" width="12.7109375" customWidth="1"/>
    <col min="21" max="25" width="13.7109375" customWidth="1"/>
    <col min="26" max="62" width="9.140625" customWidth="1"/>
    <col min="63" max="16384" width="9.140625" hidden="1"/>
  </cols>
  <sheetData>
    <row r="1" spans="1:62" ht="21">
      <c r="A1" s="4" t="s">
        <v>46</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2">
      <c r="A2" s="311" t="str">
        <f>Indeksacja!$A$2</f>
        <v>Dla roku bazowego 2022 właściwe do zastosowania w analizie są wartości kosztów jednostkowych określone według poziomu cenowego z końca roku poprzedniego, tzn. 2021.</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row>
    <row r="3" spans="1:62">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row>
    <row r="4" spans="1:62">
      <c r="A4" s="189" t="str">
        <f>'VOC eksploatacja samochody'!$A$4</f>
        <v>Prognoza zmian struktury floty pojazdów drogowych w Polsce pod względem rodzaju paliwa</v>
      </c>
      <c r="B4" s="311"/>
      <c r="C4" s="311"/>
      <c r="D4" s="311"/>
      <c r="E4" s="311"/>
      <c r="F4" s="311"/>
      <c r="G4" s="311"/>
      <c r="H4" s="311"/>
      <c r="I4" s="311"/>
      <c r="J4" s="311"/>
      <c r="K4" s="311"/>
      <c r="L4" s="311"/>
      <c r="M4" s="311"/>
      <c r="N4" s="311"/>
      <c r="O4" s="311"/>
      <c r="P4" s="311"/>
      <c r="Q4" s="311"/>
      <c r="R4" s="311"/>
      <c r="S4" s="311"/>
      <c r="U4" s="311"/>
      <c r="V4" s="311"/>
      <c r="W4" s="311"/>
      <c r="X4" s="311"/>
      <c r="Y4" s="311"/>
      <c r="Z4" s="311"/>
      <c r="AA4" s="311"/>
      <c r="AB4" s="311"/>
      <c r="AC4" s="311"/>
      <c r="AD4" s="311"/>
      <c r="AF4" s="311"/>
      <c r="AG4" s="311"/>
      <c r="AH4" s="311"/>
      <c r="AI4" s="311"/>
      <c r="AJ4" s="311"/>
      <c r="AK4" s="311"/>
      <c r="AL4" s="311"/>
      <c r="AM4" s="311"/>
      <c r="AN4" s="311"/>
      <c r="AO4" s="311"/>
      <c r="AP4" s="311"/>
      <c r="AQ4" s="311"/>
      <c r="AR4" s="311"/>
      <c r="AS4" s="311"/>
      <c r="AT4" s="311"/>
      <c r="AU4" s="311"/>
      <c r="AV4" s="311"/>
      <c r="AW4" s="311"/>
      <c r="AX4" s="311"/>
      <c r="AZ4" s="311"/>
      <c r="BA4" s="311"/>
      <c r="BB4" s="311"/>
      <c r="BC4" s="311"/>
      <c r="BD4" s="311"/>
      <c r="BE4" s="311"/>
      <c r="BF4" s="311"/>
      <c r="BG4" s="311"/>
      <c r="BH4" s="311"/>
      <c r="BI4" s="311"/>
    </row>
    <row r="5" spans="1:62">
      <c r="A5" s="311"/>
      <c r="B5" s="311"/>
      <c r="C5" s="311"/>
      <c r="D5" s="311"/>
      <c r="E5" s="311"/>
      <c r="F5" s="311"/>
      <c r="G5" s="311"/>
      <c r="H5" s="311"/>
      <c r="I5" s="311"/>
      <c r="J5" s="311"/>
      <c r="K5" s="311"/>
      <c r="L5" s="311"/>
      <c r="M5" s="311"/>
      <c r="N5" s="311"/>
      <c r="O5" s="311"/>
      <c r="P5" s="311"/>
      <c r="Q5" s="311"/>
      <c r="R5" s="311"/>
      <c r="S5" s="311"/>
      <c r="U5" s="311"/>
      <c r="V5" s="311"/>
      <c r="W5" s="311"/>
      <c r="X5" s="311"/>
      <c r="Y5" s="311"/>
      <c r="Z5" s="311"/>
      <c r="AA5" s="311"/>
      <c r="AB5" s="311"/>
      <c r="AC5" s="311"/>
      <c r="AD5" s="311"/>
      <c r="AF5" s="311"/>
      <c r="AG5" s="35"/>
      <c r="AH5" s="311"/>
      <c r="AI5" s="311"/>
      <c r="AJ5" s="311"/>
      <c r="AK5" s="311"/>
      <c r="AL5" s="311"/>
      <c r="AM5" s="311"/>
      <c r="AN5" s="311"/>
      <c r="AO5" s="311"/>
      <c r="AP5" s="311"/>
      <c r="AQ5" s="311"/>
      <c r="AR5" s="311"/>
      <c r="AS5" s="311"/>
      <c r="AT5" s="311"/>
      <c r="AU5" s="311"/>
      <c r="AV5" s="311"/>
      <c r="AW5" s="311"/>
      <c r="AX5" s="311"/>
      <c r="AZ5" s="311"/>
      <c r="BA5" s="311"/>
      <c r="BB5" s="311"/>
      <c r="BC5" s="311"/>
      <c r="BD5" s="311"/>
      <c r="BE5" s="311"/>
      <c r="BF5" s="311"/>
      <c r="BG5" s="311"/>
      <c r="BH5" s="311"/>
      <c r="BI5" s="311"/>
    </row>
    <row r="6" spans="1:62">
      <c r="A6" s="168" t="str">
        <f>'VOC eksploatacja samochody'!$A$48</f>
        <v>Struktura floty pojazdów LV</v>
      </c>
      <c r="B6" s="311"/>
      <c r="C6" s="311"/>
      <c r="D6" s="311"/>
      <c r="E6" s="311"/>
      <c r="F6" s="311"/>
      <c r="G6" s="311"/>
      <c r="H6" s="311"/>
      <c r="I6" s="311"/>
      <c r="J6" s="311"/>
      <c r="K6" s="311"/>
      <c r="L6" s="311"/>
      <c r="M6" s="311"/>
      <c r="N6" s="311"/>
      <c r="O6" s="311"/>
      <c r="P6" s="311"/>
      <c r="Q6" s="311"/>
      <c r="R6" s="311"/>
      <c r="S6" s="311"/>
    </row>
    <row r="7" spans="1:62">
      <c r="A7" s="9" t="s">
        <v>70</v>
      </c>
      <c r="B7" s="508" t="s">
        <v>0</v>
      </c>
      <c r="C7" s="2"/>
      <c r="D7" s="2"/>
      <c r="E7" s="2"/>
      <c r="F7" s="2"/>
      <c r="G7" s="2"/>
      <c r="H7" s="2"/>
      <c r="I7" s="2"/>
      <c r="J7" s="2"/>
      <c r="K7" s="2"/>
      <c r="L7" s="2"/>
      <c r="M7" s="2"/>
      <c r="N7" s="2"/>
      <c r="O7" s="2"/>
      <c r="P7" s="2"/>
      <c r="Q7" s="6"/>
      <c r="R7" s="6"/>
      <c r="S7" s="6"/>
      <c r="T7" s="6">
        <v>2019</v>
      </c>
      <c r="U7" s="6">
        <f t="shared" ref="U7:BJ7" si="0">T7+1</f>
        <v>2020</v>
      </c>
      <c r="V7" s="6">
        <f t="shared" si="0"/>
        <v>2021</v>
      </c>
      <c r="W7" s="6">
        <f t="shared" si="0"/>
        <v>2022</v>
      </c>
      <c r="X7" s="6">
        <f t="shared" si="0"/>
        <v>2023</v>
      </c>
      <c r="Y7" s="6">
        <f t="shared" si="0"/>
        <v>2024</v>
      </c>
      <c r="Z7" s="6">
        <f t="shared" si="0"/>
        <v>2025</v>
      </c>
      <c r="AA7" s="6">
        <f t="shared" si="0"/>
        <v>2026</v>
      </c>
      <c r="AB7" s="6">
        <f t="shared" si="0"/>
        <v>2027</v>
      </c>
      <c r="AC7" s="6">
        <f t="shared" si="0"/>
        <v>2028</v>
      </c>
      <c r="AD7" s="6">
        <f t="shared" si="0"/>
        <v>2029</v>
      </c>
      <c r="AE7" s="6">
        <f t="shared" si="0"/>
        <v>2030</v>
      </c>
      <c r="AF7" s="6">
        <f t="shared" si="0"/>
        <v>2031</v>
      </c>
      <c r="AG7" s="6">
        <f t="shared" si="0"/>
        <v>2032</v>
      </c>
      <c r="AH7" s="6">
        <f t="shared" si="0"/>
        <v>2033</v>
      </c>
      <c r="AI7" s="6">
        <f t="shared" si="0"/>
        <v>2034</v>
      </c>
      <c r="AJ7" s="6">
        <f t="shared" si="0"/>
        <v>2035</v>
      </c>
      <c r="AK7" s="6">
        <f t="shared" si="0"/>
        <v>2036</v>
      </c>
      <c r="AL7" s="6">
        <f t="shared" si="0"/>
        <v>2037</v>
      </c>
      <c r="AM7" s="6">
        <f t="shared" si="0"/>
        <v>2038</v>
      </c>
      <c r="AN7" s="6">
        <f t="shared" si="0"/>
        <v>2039</v>
      </c>
      <c r="AO7" s="6">
        <f t="shared" si="0"/>
        <v>2040</v>
      </c>
      <c r="AP7" s="6">
        <f t="shared" si="0"/>
        <v>2041</v>
      </c>
      <c r="AQ7" s="6">
        <f t="shared" si="0"/>
        <v>2042</v>
      </c>
      <c r="AR7" s="6">
        <f t="shared" si="0"/>
        <v>2043</v>
      </c>
      <c r="AS7" s="6">
        <f t="shared" si="0"/>
        <v>2044</v>
      </c>
      <c r="AT7" s="6">
        <f t="shared" si="0"/>
        <v>2045</v>
      </c>
      <c r="AU7" s="6">
        <f t="shared" si="0"/>
        <v>2046</v>
      </c>
      <c r="AV7" s="6">
        <f t="shared" si="0"/>
        <v>2047</v>
      </c>
      <c r="AW7" s="6">
        <f t="shared" si="0"/>
        <v>2048</v>
      </c>
      <c r="AX7" s="6">
        <f t="shared" si="0"/>
        <v>2049</v>
      </c>
      <c r="AY7" s="6">
        <f t="shared" si="0"/>
        <v>2050</v>
      </c>
      <c r="AZ7" s="6">
        <f t="shared" si="0"/>
        <v>2051</v>
      </c>
      <c r="BA7" s="6">
        <f t="shared" si="0"/>
        <v>2052</v>
      </c>
      <c r="BB7" s="6">
        <f t="shared" si="0"/>
        <v>2053</v>
      </c>
      <c r="BC7" s="6">
        <f t="shared" si="0"/>
        <v>2054</v>
      </c>
      <c r="BD7" s="6">
        <f t="shared" si="0"/>
        <v>2055</v>
      </c>
      <c r="BE7" s="6">
        <f t="shared" si="0"/>
        <v>2056</v>
      </c>
      <c r="BF7" s="6">
        <f t="shared" si="0"/>
        <v>2057</v>
      </c>
      <c r="BG7" s="6">
        <f t="shared" si="0"/>
        <v>2058</v>
      </c>
      <c r="BH7" s="6">
        <f t="shared" si="0"/>
        <v>2059</v>
      </c>
      <c r="BI7" s="6">
        <f t="shared" si="0"/>
        <v>2060</v>
      </c>
      <c r="BJ7" s="6">
        <f t="shared" si="0"/>
        <v>2061</v>
      </c>
    </row>
    <row r="8" spans="1:62">
      <c r="A8" s="157" t="s">
        <v>363</v>
      </c>
      <c r="B8" s="172"/>
      <c r="C8" s="172"/>
      <c r="D8" s="172"/>
      <c r="E8" s="172"/>
      <c r="F8" s="172"/>
      <c r="G8" s="172"/>
      <c r="H8" s="172"/>
      <c r="I8" s="172"/>
      <c r="J8" s="172"/>
      <c r="K8" s="172"/>
      <c r="L8" s="172"/>
      <c r="M8" s="172"/>
      <c r="N8" s="172"/>
      <c r="O8" s="172"/>
      <c r="P8" s="172"/>
      <c r="Q8" s="172"/>
      <c r="R8" s="172"/>
      <c r="S8" s="173"/>
      <c r="T8" s="174">
        <f>'VOC eksploatacja samochody'!T50</f>
        <v>1</v>
      </c>
      <c r="U8" s="175">
        <f>'VOC eksploatacja samochody'!U50</f>
        <v>0.99290909090909085</v>
      </c>
      <c r="V8" s="171">
        <f>'VOC eksploatacja samochody'!V50</f>
        <v>0.9858181818181817</v>
      </c>
      <c r="W8" s="171">
        <f>'VOC eksploatacja samochody'!W50</f>
        <v>0.97872727272727256</v>
      </c>
      <c r="X8" s="171">
        <f>'VOC eksploatacja samochody'!X50</f>
        <v>0.97163636363636341</v>
      </c>
      <c r="Y8" s="171">
        <f>'VOC eksploatacja samochody'!Y50</f>
        <v>0.96454545454545426</v>
      </c>
      <c r="Z8" s="171">
        <f>'VOC eksploatacja samochody'!Z50</f>
        <v>0.95745454545454511</v>
      </c>
      <c r="AA8" s="171">
        <f>'VOC eksploatacja samochody'!AA50</f>
        <v>0.95036363636363597</v>
      </c>
      <c r="AB8" s="171">
        <f>'VOC eksploatacja samochody'!AB50</f>
        <v>0.94327272727272682</v>
      </c>
      <c r="AC8" s="171">
        <f>'VOC eksploatacja samochody'!AC50</f>
        <v>0.93618181818181767</v>
      </c>
      <c r="AD8" s="171">
        <f>'VOC eksploatacja samochody'!AD50</f>
        <v>0.92909090909090852</v>
      </c>
      <c r="AE8" s="174">
        <f>'VOC eksploatacja samochody'!AE50</f>
        <v>0.92199999999999993</v>
      </c>
      <c r="AF8" s="171">
        <f>'VOC eksploatacja samochody'!AF50</f>
        <v>0.90934999999999988</v>
      </c>
      <c r="AG8" s="171">
        <f>'VOC eksploatacja samochody'!AG50</f>
        <v>0.89669999999999983</v>
      </c>
      <c r="AH8" s="171">
        <f>'VOC eksploatacja samochody'!AH50</f>
        <v>0.88404999999999978</v>
      </c>
      <c r="AI8" s="171">
        <f>'VOC eksploatacja samochody'!AI50</f>
        <v>0.87139999999999973</v>
      </c>
      <c r="AJ8" s="171">
        <f>'VOC eksploatacja samochody'!AJ50</f>
        <v>0.85874999999999968</v>
      </c>
      <c r="AK8" s="171">
        <f>'VOC eksploatacja samochody'!AK50</f>
        <v>0.84609999999999963</v>
      </c>
      <c r="AL8" s="171">
        <f>'VOC eksploatacja samochody'!AL50</f>
        <v>0.83344999999999958</v>
      </c>
      <c r="AM8" s="171">
        <f>'VOC eksploatacja samochody'!AM50</f>
        <v>0.82079999999999953</v>
      </c>
      <c r="AN8" s="171">
        <f>'VOC eksploatacja samochody'!AN50</f>
        <v>0.80814999999999948</v>
      </c>
      <c r="AO8" s="171">
        <f>'VOC eksploatacja samochody'!AO50</f>
        <v>0.79549999999999943</v>
      </c>
      <c r="AP8" s="171">
        <f>'VOC eksploatacja samochody'!AP50</f>
        <v>0.78284999999999938</v>
      </c>
      <c r="AQ8" s="171">
        <f>'VOC eksploatacja samochody'!AQ50</f>
        <v>0.77019999999999933</v>
      </c>
      <c r="AR8" s="171">
        <f>'VOC eksploatacja samochody'!AR50</f>
        <v>0.75754999999999928</v>
      </c>
      <c r="AS8" s="171">
        <f>'VOC eksploatacja samochody'!AS50</f>
        <v>0.74489999999999923</v>
      </c>
      <c r="AT8" s="171">
        <f>'VOC eksploatacja samochody'!AT50</f>
        <v>0.73224999999999918</v>
      </c>
      <c r="AU8" s="171">
        <f>'VOC eksploatacja samochody'!AU50</f>
        <v>0.71959999999999913</v>
      </c>
      <c r="AV8" s="171">
        <f>'VOC eksploatacja samochody'!AV50</f>
        <v>0.70694999999999908</v>
      </c>
      <c r="AW8" s="171">
        <f>'VOC eksploatacja samochody'!AW50</f>
        <v>0.69429999999999903</v>
      </c>
      <c r="AX8" s="171">
        <f>'VOC eksploatacja samochody'!AX50</f>
        <v>0.68164999999999898</v>
      </c>
      <c r="AY8" s="174">
        <f>'VOC eksploatacja samochody'!AY50</f>
        <v>0.66900000000000004</v>
      </c>
      <c r="AZ8" s="171">
        <f>'VOC eksploatacja samochody'!AZ50</f>
        <v>0.66900000000000004</v>
      </c>
      <c r="BA8" s="171">
        <f>'VOC eksploatacja samochody'!BA50</f>
        <v>0.66900000000000004</v>
      </c>
      <c r="BB8" s="171">
        <f>'VOC eksploatacja samochody'!BB50</f>
        <v>0.66900000000000004</v>
      </c>
      <c r="BC8" s="171">
        <f>'VOC eksploatacja samochody'!BC50</f>
        <v>0.66900000000000004</v>
      </c>
      <c r="BD8" s="171">
        <f>'VOC eksploatacja samochody'!BD50</f>
        <v>0.66900000000000004</v>
      </c>
      <c r="BE8" s="171">
        <f>'VOC eksploatacja samochody'!BE50</f>
        <v>0.66900000000000004</v>
      </c>
      <c r="BF8" s="171">
        <f>'VOC eksploatacja samochody'!BF50</f>
        <v>0.66900000000000004</v>
      </c>
      <c r="BG8" s="171">
        <f>'VOC eksploatacja samochody'!BG50</f>
        <v>0.66900000000000004</v>
      </c>
      <c r="BH8" s="171">
        <f>'VOC eksploatacja samochody'!BH50</f>
        <v>0.66900000000000004</v>
      </c>
      <c r="BI8" s="171">
        <f>'VOC eksploatacja samochody'!BI50</f>
        <v>0.66900000000000004</v>
      </c>
      <c r="BJ8" s="171">
        <f>'VOC eksploatacja samochody'!BJ50</f>
        <v>0.66900000000000004</v>
      </c>
    </row>
    <row r="9" spans="1:62">
      <c r="A9" s="206" t="s">
        <v>361</v>
      </c>
      <c r="B9" s="201"/>
      <c r="C9" s="201"/>
      <c r="D9" s="201"/>
      <c r="E9" s="201"/>
      <c r="F9" s="201"/>
      <c r="G9" s="201"/>
      <c r="H9" s="201"/>
      <c r="I9" s="201"/>
      <c r="J9" s="201"/>
      <c r="K9" s="201"/>
      <c r="L9" s="201"/>
      <c r="M9" s="201"/>
      <c r="N9" s="201"/>
      <c r="O9" s="201"/>
      <c r="P9" s="201"/>
      <c r="Q9" s="201"/>
      <c r="R9" s="201"/>
      <c r="S9" s="202"/>
      <c r="T9" s="211">
        <f>'VOC eksploatacja samochody'!T51</f>
        <v>0.67903598504544949</v>
      </c>
      <c r="U9" s="204">
        <f>'VOC eksploatacja samochody'!U51</f>
        <v>0.67621453185949953</v>
      </c>
      <c r="V9" s="205">
        <f>'VOC eksploatacja samochody'!V51</f>
        <v>0.67339307867354958</v>
      </c>
      <c r="W9" s="205">
        <f>'VOC eksploatacja samochody'!W51</f>
        <v>0.67057162548759963</v>
      </c>
      <c r="X9" s="205">
        <f>'VOC eksploatacja samochody'!X51</f>
        <v>0.66775017230164968</v>
      </c>
      <c r="Y9" s="205">
        <f>'VOC eksploatacja samochody'!Y51</f>
        <v>0.66492871911569973</v>
      </c>
      <c r="Z9" s="205">
        <f>'VOC eksploatacja samochody'!Z51</f>
        <v>0.66210726592974978</v>
      </c>
      <c r="AA9" s="205">
        <f>'VOC eksploatacja samochody'!AA51</f>
        <v>0.65928581274379983</v>
      </c>
      <c r="AB9" s="205">
        <f>'VOC eksploatacja samochody'!AB51</f>
        <v>0.65646435955784987</v>
      </c>
      <c r="AC9" s="205">
        <f>'VOC eksploatacja samochody'!AC51</f>
        <v>0.65364290637189992</v>
      </c>
      <c r="AD9" s="205">
        <f>'VOC eksploatacja samochody'!AD51</f>
        <v>0.65082145318594997</v>
      </c>
      <c r="AE9" s="211">
        <f>'VOC eksploatacja samochody'!AE51</f>
        <v>0.64799999999999991</v>
      </c>
      <c r="AF9" s="205">
        <f>'VOC eksploatacja samochody'!AF51</f>
        <v>0.64039999999999986</v>
      </c>
      <c r="AG9" s="205">
        <f>'VOC eksploatacja samochody'!AG51</f>
        <v>0.63279999999999981</v>
      </c>
      <c r="AH9" s="205">
        <f>'VOC eksploatacja samochody'!AH51</f>
        <v>0.62519999999999976</v>
      </c>
      <c r="AI9" s="205">
        <f>'VOC eksploatacja samochody'!AI51</f>
        <v>0.6175999999999997</v>
      </c>
      <c r="AJ9" s="205">
        <f>'VOC eksploatacja samochody'!AJ51</f>
        <v>0.60999999999999965</v>
      </c>
      <c r="AK9" s="205">
        <f>'VOC eksploatacja samochody'!AK51</f>
        <v>0.6023999999999996</v>
      </c>
      <c r="AL9" s="205">
        <f>'VOC eksploatacja samochody'!AL51</f>
        <v>0.59479999999999955</v>
      </c>
      <c r="AM9" s="205">
        <f>'VOC eksploatacja samochody'!AM51</f>
        <v>0.5871999999999995</v>
      </c>
      <c r="AN9" s="205">
        <f>'VOC eksploatacja samochody'!AN51</f>
        <v>0.57959999999999945</v>
      </c>
      <c r="AO9" s="205">
        <f>'VOC eksploatacja samochody'!AO51</f>
        <v>0.5719999999999994</v>
      </c>
      <c r="AP9" s="205">
        <f>'VOC eksploatacja samochody'!AP51</f>
        <v>0.56439999999999935</v>
      </c>
      <c r="AQ9" s="205">
        <f>'VOC eksploatacja samochody'!AQ51</f>
        <v>0.5567999999999993</v>
      </c>
      <c r="AR9" s="205">
        <f>'VOC eksploatacja samochody'!AR51</f>
        <v>0.54919999999999924</v>
      </c>
      <c r="AS9" s="205">
        <f>'VOC eksploatacja samochody'!AS51</f>
        <v>0.54159999999999919</v>
      </c>
      <c r="AT9" s="205">
        <f>'VOC eksploatacja samochody'!AT51</f>
        <v>0.53399999999999914</v>
      </c>
      <c r="AU9" s="205">
        <f>'VOC eksploatacja samochody'!AU51</f>
        <v>0.52639999999999909</v>
      </c>
      <c r="AV9" s="205">
        <f>'VOC eksploatacja samochody'!AV51</f>
        <v>0.51879999999999904</v>
      </c>
      <c r="AW9" s="205">
        <f>'VOC eksploatacja samochody'!AW51</f>
        <v>0.51119999999999899</v>
      </c>
      <c r="AX9" s="205">
        <f>'VOC eksploatacja samochody'!AX51</f>
        <v>0.50359999999999894</v>
      </c>
      <c r="AY9" s="211">
        <f>'VOC eksploatacja samochody'!AY51</f>
        <v>0.496</v>
      </c>
      <c r="AZ9" s="205">
        <f>'VOC eksploatacja samochody'!AZ51</f>
        <v>0.496</v>
      </c>
      <c r="BA9" s="205">
        <f>'VOC eksploatacja samochody'!BA51</f>
        <v>0.496</v>
      </c>
      <c r="BB9" s="205">
        <f>'VOC eksploatacja samochody'!BB51</f>
        <v>0.496</v>
      </c>
      <c r="BC9" s="205">
        <f>'VOC eksploatacja samochody'!BC51</f>
        <v>0.496</v>
      </c>
      <c r="BD9" s="205">
        <f>'VOC eksploatacja samochody'!BD51</f>
        <v>0.496</v>
      </c>
      <c r="BE9" s="205">
        <f>'VOC eksploatacja samochody'!BE51</f>
        <v>0.496</v>
      </c>
      <c r="BF9" s="205">
        <f>'VOC eksploatacja samochody'!BF51</f>
        <v>0.496</v>
      </c>
      <c r="BG9" s="205">
        <f>'VOC eksploatacja samochody'!BG51</f>
        <v>0.496</v>
      </c>
      <c r="BH9" s="205">
        <f>'VOC eksploatacja samochody'!BH51</f>
        <v>0.496</v>
      </c>
      <c r="BI9" s="205">
        <f>'VOC eksploatacja samochody'!BI51</f>
        <v>0.496</v>
      </c>
      <c r="BJ9" s="205">
        <f>'VOC eksploatacja samochody'!BJ51</f>
        <v>0.496</v>
      </c>
    </row>
    <row r="10" spans="1:62">
      <c r="A10" s="206" t="s">
        <v>71</v>
      </c>
      <c r="B10" s="201"/>
      <c r="C10" s="201"/>
      <c r="D10" s="201"/>
      <c r="E10" s="201"/>
      <c r="F10" s="201"/>
      <c r="G10" s="201"/>
      <c r="H10" s="201"/>
      <c r="I10" s="201"/>
      <c r="J10" s="201"/>
      <c r="K10" s="201"/>
      <c r="L10" s="201"/>
      <c r="M10" s="201"/>
      <c r="N10" s="201"/>
      <c r="O10" s="201"/>
      <c r="P10" s="201"/>
      <c r="Q10" s="201"/>
      <c r="R10" s="201"/>
      <c r="S10" s="202"/>
      <c r="T10" s="211">
        <f>'VOC eksploatacja samochody'!T52</f>
        <v>0.32096401495455057</v>
      </c>
      <c r="U10" s="204">
        <f>'VOC eksploatacja samochody'!U52</f>
        <v>0.31669455904959143</v>
      </c>
      <c r="V10" s="205">
        <f>'VOC eksploatacja samochody'!V52</f>
        <v>0.31242510314463229</v>
      </c>
      <c r="W10" s="205">
        <f>'VOC eksploatacja samochody'!W52</f>
        <v>0.30815564723967315</v>
      </c>
      <c r="X10" s="205">
        <f>'VOC eksploatacja samochody'!X52</f>
        <v>0.30388619133471401</v>
      </c>
      <c r="Y10" s="205">
        <f>'VOC eksploatacja samochody'!Y52</f>
        <v>0.29961673542975487</v>
      </c>
      <c r="Z10" s="205">
        <f>'VOC eksploatacja samochody'!Z52</f>
        <v>0.29534727952479572</v>
      </c>
      <c r="AA10" s="205">
        <f>'VOC eksploatacja samochody'!AA52</f>
        <v>0.29107782361983658</v>
      </c>
      <c r="AB10" s="205">
        <f>'VOC eksploatacja samochody'!AB52</f>
        <v>0.28680836771487744</v>
      </c>
      <c r="AC10" s="205">
        <f>'VOC eksploatacja samochody'!AC52</f>
        <v>0.2825389118099183</v>
      </c>
      <c r="AD10" s="205">
        <f>'VOC eksploatacja samochody'!AD52</f>
        <v>0.27826945590495916</v>
      </c>
      <c r="AE10" s="211">
        <f>'VOC eksploatacja samochody'!AE52</f>
        <v>0.27400000000000002</v>
      </c>
      <c r="AF10" s="205">
        <f>'VOC eksploatacja samochody'!AF52</f>
        <v>0.26895000000000002</v>
      </c>
      <c r="AG10" s="205">
        <f>'VOC eksploatacja samochody'!AG52</f>
        <v>0.26390000000000002</v>
      </c>
      <c r="AH10" s="205">
        <f>'VOC eksploatacja samochody'!AH52</f>
        <v>0.25885000000000002</v>
      </c>
      <c r="AI10" s="205">
        <f>'VOC eksploatacja samochody'!AI52</f>
        <v>0.25380000000000003</v>
      </c>
      <c r="AJ10" s="205">
        <f>'VOC eksploatacja samochody'!AJ52</f>
        <v>0.24875000000000003</v>
      </c>
      <c r="AK10" s="205">
        <f>'VOC eksploatacja samochody'!AK52</f>
        <v>0.24370000000000003</v>
      </c>
      <c r="AL10" s="205">
        <f>'VOC eksploatacja samochody'!AL52</f>
        <v>0.23865000000000003</v>
      </c>
      <c r="AM10" s="205">
        <f>'VOC eksploatacja samochody'!AM52</f>
        <v>0.23360000000000003</v>
      </c>
      <c r="AN10" s="205">
        <f>'VOC eksploatacja samochody'!AN52</f>
        <v>0.22855000000000003</v>
      </c>
      <c r="AO10" s="205">
        <f>'VOC eksploatacja samochody'!AO52</f>
        <v>0.22350000000000003</v>
      </c>
      <c r="AP10" s="205">
        <f>'VOC eksploatacja samochody'!AP52</f>
        <v>0.21845000000000003</v>
      </c>
      <c r="AQ10" s="205">
        <f>'VOC eksploatacja samochody'!AQ52</f>
        <v>0.21340000000000003</v>
      </c>
      <c r="AR10" s="205">
        <f>'VOC eksploatacja samochody'!AR52</f>
        <v>0.20835000000000004</v>
      </c>
      <c r="AS10" s="205">
        <f>'VOC eksploatacja samochody'!AS52</f>
        <v>0.20330000000000004</v>
      </c>
      <c r="AT10" s="205">
        <f>'VOC eksploatacja samochody'!AT52</f>
        <v>0.19825000000000004</v>
      </c>
      <c r="AU10" s="205">
        <f>'VOC eksploatacja samochody'!AU52</f>
        <v>0.19320000000000004</v>
      </c>
      <c r="AV10" s="205">
        <f>'VOC eksploatacja samochody'!AV52</f>
        <v>0.18815000000000004</v>
      </c>
      <c r="AW10" s="205">
        <f>'VOC eksploatacja samochody'!AW52</f>
        <v>0.18310000000000004</v>
      </c>
      <c r="AX10" s="205">
        <f>'VOC eksploatacja samochody'!AX52</f>
        <v>0.17805000000000004</v>
      </c>
      <c r="AY10" s="211">
        <f>'VOC eksploatacja samochody'!AY52</f>
        <v>0.17299999999999999</v>
      </c>
      <c r="AZ10" s="205">
        <f>'VOC eksploatacja samochody'!AZ52</f>
        <v>0.17299999999999999</v>
      </c>
      <c r="BA10" s="205">
        <f>'VOC eksploatacja samochody'!BA52</f>
        <v>0.17299999999999999</v>
      </c>
      <c r="BB10" s="205">
        <f>'VOC eksploatacja samochody'!BB52</f>
        <v>0.17299999999999999</v>
      </c>
      <c r="BC10" s="205">
        <f>'VOC eksploatacja samochody'!BC52</f>
        <v>0.17299999999999999</v>
      </c>
      <c r="BD10" s="205">
        <f>'VOC eksploatacja samochody'!BD52</f>
        <v>0.17299999999999999</v>
      </c>
      <c r="BE10" s="205">
        <f>'VOC eksploatacja samochody'!BE52</f>
        <v>0.17299999999999999</v>
      </c>
      <c r="BF10" s="205">
        <f>'VOC eksploatacja samochody'!BF52</f>
        <v>0.17299999999999999</v>
      </c>
      <c r="BG10" s="205">
        <f>'VOC eksploatacja samochody'!BG52</f>
        <v>0.17299999999999999</v>
      </c>
      <c r="BH10" s="205">
        <f>'VOC eksploatacja samochody'!BH52</f>
        <v>0.17299999999999999</v>
      </c>
      <c r="BI10" s="205">
        <f>'VOC eksploatacja samochody'!BI52</f>
        <v>0.17299999999999999</v>
      </c>
      <c r="BJ10" s="205">
        <f>'VOC eksploatacja samochody'!BJ52</f>
        <v>0.17299999999999999</v>
      </c>
    </row>
    <row r="11" spans="1:62">
      <c r="A11" s="157" t="s">
        <v>75</v>
      </c>
      <c r="B11" s="172"/>
      <c r="C11" s="172"/>
      <c r="D11" s="172"/>
      <c r="E11" s="172"/>
      <c r="F11" s="172"/>
      <c r="G11" s="172"/>
      <c r="H11" s="172"/>
      <c r="I11" s="172"/>
      <c r="J11" s="172"/>
      <c r="K11" s="172"/>
      <c r="L11" s="172"/>
      <c r="M11" s="172"/>
      <c r="N11" s="172"/>
      <c r="O11" s="172"/>
      <c r="P11" s="172"/>
      <c r="Q11" s="172"/>
      <c r="R11" s="172"/>
      <c r="S11" s="173"/>
      <c r="T11" s="174">
        <f>'VOC eksploatacja samochody'!T53</f>
        <v>0</v>
      </c>
      <c r="U11" s="175">
        <f>'VOC eksploatacja samochody'!U53</f>
        <v>7.0909090909090913E-3</v>
      </c>
      <c r="V11" s="171">
        <f>'VOC eksploatacja samochody'!V53</f>
        <v>1.4181818181818183E-2</v>
      </c>
      <c r="W11" s="171">
        <f>'VOC eksploatacja samochody'!W53</f>
        <v>2.1272727272727273E-2</v>
      </c>
      <c r="X11" s="171">
        <f>'VOC eksploatacja samochody'!X53</f>
        <v>2.8363636363636365E-2</v>
      </c>
      <c r="Y11" s="171">
        <f>'VOC eksploatacja samochody'!Y53</f>
        <v>3.5454545454545454E-2</v>
      </c>
      <c r="Z11" s="171">
        <f>'VOC eksploatacja samochody'!Z53</f>
        <v>4.2545454545454546E-2</v>
      </c>
      <c r="AA11" s="171">
        <f>'VOC eksploatacja samochody'!AA53</f>
        <v>4.9636363636363638E-2</v>
      </c>
      <c r="AB11" s="171">
        <f>'VOC eksploatacja samochody'!AB53</f>
        <v>5.672727272727273E-2</v>
      </c>
      <c r="AC11" s="171">
        <f>'VOC eksploatacja samochody'!AC53</f>
        <v>6.3818181818181816E-2</v>
      </c>
      <c r="AD11" s="171">
        <f>'VOC eksploatacja samochody'!AD53</f>
        <v>7.0909090909090908E-2</v>
      </c>
      <c r="AE11" s="174">
        <f>'VOC eksploatacja samochody'!AE53</f>
        <v>7.8E-2</v>
      </c>
      <c r="AF11" s="171">
        <f>'VOC eksploatacja samochody'!AF53</f>
        <v>9.0649999999999994E-2</v>
      </c>
      <c r="AG11" s="171">
        <f>'VOC eksploatacja samochody'!AG53</f>
        <v>0.10329999999999999</v>
      </c>
      <c r="AH11" s="171">
        <f>'VOC eksploatacja samochody'!AH53</f>
        <v>0.11594999999999998</v>
      </c>
      <c r="AI11" s="171">
        <f>'VOC eksploatacja samochody'!AI53</f>
        <v>0.12859999999999999</v>
      </c>
      <c r="AJ11" s="171">
        <f>'VOC eksploatacja samochody'!AJ53</f>
        <v>0.14124999999999999</v>
      </c>
      <c r="AK11" s="171">
        <f>'VOC eksploatacja samochody'!AK53</f>
        <v>0.15389999999999998</v>
      </c>
      <c r="AL11" s="171">
        <f>'VOC eksploatacja samochody'!AL53</f>
        <v>0.16654999999999998</v>
      </c>
      <c r="AM11" s="171">
        <f>'VOC eksploatacja samochody'!AM53</f>
        <v>0.17919999999999997</v>
      </c>
      <c r="AN11" s="171">
        <f>'VOC eksploatacja samochody'!AN53</f>
        <v>0.19184999999999997</v>
      </c>
      <c r="AO11" s="171">
        <f>'VOC eksploatacja samochody'!AO53</f>
        <v>0.20449999999999996</v>
      </c>
      <c r="AP11" s="171">
        <f>'VOC eksploatacja samochody'!AP53</f>
        <v>0.21714999999999995</v>
      </c>
      <c r="AQ11" s="171">
        <f>'VOC eksploatacja samochody'!AQ53</f>
        <v>0.22979999999999995</v>
      </c>
      <c r="AR11" s="171">
        <f>'VOC eksploatacja samochody'!AR53</f>
        <v>0.24244999999999994</v>
      </c>
      <c r="AS11" s="171">
        <f>'VOC eksploatacja samochody'!AS53</f>
        <v>0.25509999999999994</v>
      </c>
      <c r="AT11" s="171">
        <f>'VOC eksploatacja samochody'!AT53</f>
        <v>0.26774999999999993</v>
      </c>
      <c r="AU11" s="171">
        <f>'VOC eksploatacja samochody'!AU53</f>
        <v>0.28039999999999993</v>
      </c>
      <c r="AV11" s="171">
        <f>'VOC eksploatacja samochody'!AV53</f>
        <v>0.29304999999999992</v>
      </c>
      <c r="AW11" s="171">
        <f>'VOC eksploatacja samochody'!AW53</f>
        <v>0.30569999999999992</v>
      </c>
      <c r="AX11" s="171">
        <f>'VOC eksploatacja samochody'!AX53</f>
        <v>0.31834999999999991</v>
      </c>
      <c r="AY11" s="174">
        <f>'VOC eksploatacja samochody'!AY53</f>
        <v>0.33100000000000002</v>
      </c>
      <c r="AZ11" s="171">
        <f>'VOC eksploatacja samochody'!AZ53</f>
        <v>0.33100000000000002</v>
      </c>
      <c r="BA11" s="171">
        <f>'VOC eksploatacja samochody'!BA53</f>
        <v>0.33100000000000002</v>
      </c>
      <c r="BB11" s="171">
        <f>'VOC eksploatacja samochody'!BB53</f>
        <v>0.33100000000000002</v>
      </c>
      <c r="BC11" s="171">
        <f>'VOC eksploatacja samochody'!BC53</f>
        <v>0.33100000000000002</v>
      </c>
      <c r="BD11" s="171">
        <f>'VOC eksploatacja samochody'!BD53</f>
        <v>0.33100000000000002</v>
      </c>
      <c r="BE11" s="171">
        <f>'VOC eksploatacja samochody'!BE53</f>
        <v>0.33100000000000002</v>
      </c>
      <c r="BF11" s="171">
        <f>'VOC eksploatacja samochody'!BF53</f>
        <v>0.33100000000000002</v>
      </c>
      <c r="BG11" s="171">
        <f>'VOC eksploatacja samochody'!BG53</f>
        <v>0.33100000000000002</v>
      </c>
      <c r="BH11" s="171">
        <f>'VOC eksploatacja samochody'!BH53</f>
        <v>0.33100000000000002</v>
      </c>
      <c r="BI11" s="171">
        <f>'VOC eksploatacja samochody'!BI53</f>
        <v>0.33100000000000002</v>
      </c>
      <c r="BJ11" s="171">
        <f>'VOC eksploatacja samochody'!BJ53</f>
        <v>0.33100000000000002</v>
      </c>
    </row>
    <row r="12" spans="1:62">
      <c r="A12" s="176"/>
      <c r="B12" s="177"/>
      <c r="C12" s="177"/>
      <c r="D12" s="177"/>
      <c r="E12" s="177"/>
      <c r="F12" s="177"/>
      <c r="G12" s="177"/>
      <c r="H12" s="177"/>
      <c r="I12" s="177"/>
      <c r="J12" s="177"/>
      <c r="K12" s="177"/>
      <c r="L12" s="177"/>
      <c r="M12" s="177"/>
      <c r="N12" s="177"/>
      <c r="O12" s="177"/>
      <c r="P12" s="177"/>
      <c r="Q12" s="177"/>
      <c r="R12" s="177"/>
      <c r="S12" s="177"/>
      <c r="T12" s="177" t="b">
        <f>ROUND(SUM(T9:T10),10)=ROUND(T8,10)</f>
        <v>1</v>
      </c>
      <c r="U12" s="177" t="b">
        <f t="shared" ref="U12:BI12" si="1">ROUND(SUM(U9:U10),10)=ROUND(U8,10)</f>
        <v>1</v>
      </c>
      <c r="V12" s="177" t="b">
        <f t="shared" si="1"/>
        <v>1</v>
      </c>
      <c r="W12" s="177" t="b">
        <f t="shared" si="1"/>
        <v>1</v>
      </c>
      <c r="X12" s="177" t="b">
        <f t="shared" si="1"/>
        <v>1</v>
      </c>
      <c r="Y12" s="177" t="b">
        <f t="shared" si="1"/>
        <v>1</v>
      </c>
      <c r="Z12" s="177" t="b">
        <f t="shared" si="1"/>
        <v>1</v>
      </c>
      <c r="AA12" s="177" t="b">
        <f t="shared" si="1"/>
        <v>1</v>
      </c>
      <c r="AB12" s="177" t="b">
        <f t="shared" si="1"/>
        <v>1</v>
      </c>
      <c r="AC12" s="177" t="b">
        <f t="shared" si="1"/>
        <v>1</v>
      </c>
      <c r="AD12" s="177" t="b">
        <f t="shared" si="1"/>
        <v>1</v>
      </c>
      <c r="AE12" s="177" t="b">
        <f t="shared" si="1"/>
        <v>1</v>
      </c>
      <c r="AF12" s="177" t="b">
        <f t="shared" si="1"/>
        <v>1</v>
      </c>
      <c r="AG12" s="177" t="b">
        <f t="shared" si="1"/>
        <v>1</v>
      </c>
      <c r="AH12" s="177" t="b">
        <f t="shared" si="1"/>
        <v>1</v>
      </c>
      <c r="AI12" s="177" t="b">
        <f t="shared" si="1"/>
        <v>1</v>
      </c>
      <c r="AJ12" s="177" t="b">
        <f t="shared" si="1"/>
        <v>1</v>
      </c>
      <c r="AK12" s="177" t="b">
        <f t="shared" si="1"/>
        <v>1</v>
      </c>
      <c r="AL12" s="177" t="b">
        <f t="shared" si="1"/>
        <v>1</v>
      </c>
      <c r="AM12" s="177" t="b">
        <f t="shared" si="1"/>
        <v>1</v>
      </c>
      <c r="AN12" s="177" t="b">
        <f t="shared" si="1"/>
        <v>1</v>
      </c>
      <c r="AO12" s="177" t="b">
        <f t="shared" si="1"/>
        <v>1</v>
      </c>
      <c r="AP12" s="177" t="b">
        <f t="shared" si="1"/>
        <v>1</v>
      </c>
      <c r="AQ12" s="177" t="b">
        <f t="shared" si="1"/>
        <v>1</v>
      </c>
      <c r="AR12" s="177" t="b">
        <f t="shared" si="1"/>
        <v>1</v>
      </c>
      <c r="AS12" s="177" t="b">
        <f t="shared" si="1"/>
        <v>1</v>
      </c>
      <c r="AT12" s="177" t="b">
        <f t="shared" si="1"/>
        <v>1</v>
      </c>
      <c r="AU12" s="177" t="b">
        <f t="shared" si="1"/>
        <v>1</v>
      </c>
      <c r="AV12" s="177" t="b">
        <f t="shared" si="1"/>
        <v>1</v>
      </c>
      <c r="AW12" s="177" t="b">
        <f t="shared" si="1"/>
        <v>1</v>
      </c>
      <c r="AX12" s="177" t="b">
        <f t="shared" si="1"/>
        <v>1</v>
      </c>
      <c r="AY12" s="177" t="b">
        <f t="shared" si="1"/>
        <v>1</v>
      </c>
      <c r="AZ12" s="177" t="b">
        <f t="shared" si="1"/>
        <v>1</v>
      </c>
      <c r="BA12" s="177" t="b">
        <f t="shared" si="1"/>
        <v>1</v>
      </c>
      <c r="BB12" s="177" t="b">
        <f t="shared" si="1"/>
        <v>1</v>
      </c>
      <c r="BC12" s="177" t="b">
        <f t="shared" si="1"/>
        <v>1</v>
      </c>
      <c r="BD12" s="177" t="b">
        <f t="shared" si="1"/>
        <v>1</v>
      </c>
      <c r="BE12" s="177" t="b">
        <f t="shared" si="1"/>
        <v>1</v>
      </c>
      <c r="BF12" s="177" t="b">
        <f t="shared" si="1"/>
        <v>1</v>
      </c>
      <c r="BG12" s="177" t="b">
        <f t="shared" si="1"/>
        <v>1</v>
      </c>
      <c r="BH12" s="177" t="b">
        <f t="shared" si="1"/>
        <v>1</v>
      </c>
      <c r="BI12" s="177" t="b">
        <f t="shared" si="1"/>
        <v>1</v>
      </c>
      <c r="BJ12" s="177" t="b">
        <f t="shared" ref="BJ12" si="2">ROUND(SUM(BJ9:BJ10),10)=ROUND(BJ8,10)</f>
        <v>1</v>
      </c>
    </row>
    <row r="13" spans="1:62">
      <c r="A13" s="168" t="str">
        <f>'VOC eksploatacja samochody'!$A$55</f>
        <v>Struktura floty pojazdów HGV</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5"/>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454"/>
    </row>
    <row r="14" spans="1:62">
      <c r="A14" s="9" t="s">
        <v>70</v>
      </c>
      <c r="B14" s="508" t="s">
        <v>0</v>
      </c>
      <c r="C14" s="2"/>
      <c r="D14" s="2"/>
      <c r="E14" s="2"/>
      <c r="F14" s="2"/>
      <c r="G14" s="2"/>
      <c r="H14" s="2"/>
      <c r="I14" s="2"/>
      <c r="J14" s="2"/>
      <c r="K14" s="2"/>
      <c r="L14" s="2"/>
      <c r="M14" s="2"/>
      <c r="N14" s="2"/>
      <c r="O14" s="2"/>
      <c r="P14" s="2"/>
      <c r="Q14" s="6"/>
      <c r="R14" s="6"/>
      <c r="S14" s="6"/>
      <c r="T14" s="6">
        <v>2019</v>
      </c>
      <c r="U14" s="6">
        <f t="shared" ref="U14:BJ14" si="3">T14+1</f>
        <v>2020</v>
      </c>
      <c r="V14" s="6">
        <f t="shared" si="3"/>
        <v>2021</v>
      </c>
      <c r="W14" s="6">
        <f t="shared" si="3"/>
        <v>2022</v>
      </c>
      <c r="X14" s="6">
        <f t="shared" si="3"/>
        <v>2023</v>
      </c>
      <c r="Y14" s="6">
        <f t="shared" si="3"/>
        <v>2024</v>
      </c>
      <c r="Z14" s="6">
        <f t="shared" si="3"/>
        <v>2025</v>
      </c>
      <c r="AA14" s="6">
        <f t="shared" si="3"/>
        <v>2026</v>
      </c>
      <c r="AB14" s="6">
        <f t="shared" si="3"/>
        <v>2027</v>
      </c>
      <c r="AC14" s="6">
        <f t="shared" si="3"/>
        <v>2028</v>
      </c>
      <c r="AD14" s="6">
        <f t="shared" si="3"/>
        <v>2029</v>
      </c>
      <c r="AE14" s="6">
        <f t="shared" si="3"/>
        <v>2030</v>
      </c>
      <c r="AF14" s="6">
        <f t="shared" si="3"/>
        <v>2031</v>
      </c>
      <c r="AG14" s="6">
        <f t="shared" si="3"/>
        <v>2032</v>
      </c>
      <c r="AH14" s="6">
        <f t="shared" si="3"/>
        <v>2033</v>
      </c>
      <c r="AI14" s="6">
        <f t="shared" si="3"/>
        <v>2034</v>
      </c>
      <c r="AJ14" s="6">
        <f t="shared" si="3"/>
        <v>2035</v>
      </c>
      <c r="AK14" s="6">
        <f t="shared" si="3"/>
        <v>2036</v>
      </c>
      <c r="AL14" s="6">
        <f t="shared" si="3"/>
        <v>2037</v>
      </c>
      <c r="AM14" s="6">
        <f t="shared" si="3"/>
        <v>2038</v>
      </c>
      <c r="AN14" s="6">
        <f t="shared" si="3"/>
        <v>2039</v>
      </c>
      <c r="AO14" s="6">
        <f t="shared" si="3"/>
        <v>2040</v>
      </c>
      <c r="AP14" s="6">
        <f t="shared" si="3"/>
        <v>2041</v>
      </c>
      <c r="AQ14" s="6">
        <f t="shared" si="3"/>
        <v>2042</v>
      </c>
      <c r="AR14" s="6">
        <f t="shared" si="3"/>
        <v>2043</v>
      </c>
      <c r="AS14" s="6">
        <f t="shared" si="3"/>
        <v>2044</v>
      </c>
      <c r="AT14" s="6">
        <f t="shared" si="3"/>
        <v>2045</v>
      </c>
      <c r="AU14" s="6">
        <f t="shared" si="3"/>
        <v>2046</v>
      </c>
      <c r="AV14" s="6">
        <f t="shared" si="3"/>
        <v>2047</v>
      </c>
      <c r="AW14" s="6">
        <f t="shared" si="3"/>
        <v>2048</v>
      </c>
      <c r="AX14" s="6">
        <f t="shared" si="3"/>
        <v>2049</v>
      </c>
      <c r="AY14" s="6">
        <f t="shared" si="3"/>
        <v>2050</v>
      </c>
      <c r="AZ14" s="6">
        <f t="shared" si="3"/>
        <v>2051</v>
      </c>
      <c r="BA14" s="6">
        <f t="shared" si="3"/>
        <v>2052</v>
      </c>
      <c r="BB14" s="6">
        <f t="shared" si="3"/>
        <v>2053</v>
      </c>
      <c r="BC14" s="6">
        <f t="shared" si="3"/>
        <v>2054</v>
      </c>
      <c r="BD14" s="6">
        <f t="shared" si="3"/>
        <v>2055</v>
      </c>
      <c r="BE14" s="6">
        <f t="shared" si="3"/>
        <v>2056</v>
      </c>
      <c r="BF14" s="6">
        <f t="shared" si="3"/>
        <v>2057</v>
      </c>
      <c r="BG14" s="6">
        <f t="shared" si="3"/>
        <v>2058</v>
      </c>
      <c r="BH14" s="6">
        <f t="shared" si="3"/>
        <v>2059</v>
      </c>
      <c r="BI14" s="6">
        <f t="shared" si="3"/>
        <v>2060</v>
      </c>
      <c r="BJ14" s="6">
        <f t="shared" si="3"/>
        <v>2061</v>
      </c>
    </row>
    <row r="15" spans="1:62">
      <c r="A15" s="157" t="s">
        <v>87</v>
      </c>
      <c r="B15" s="172"/>
      <c r="C15" s="172"/>
      <c r="D15" s="172"/>
      <c r="E15" s="172"/>
      <c r="F15" s="172"/>
      <c r="G15" s="172"/>
      <c r="H15" s="172"/>
      <c r="I15" s="172"/>
      <c r="J15" s="172"/>
      <c r="K15" s="172"/>
      <c r="L15" s="172"/>
      <c r="M15" s="172"/>
      <c r="N15" s="172"/>
      <c r="O15" s="172"/>
      <c r="P15" s="172"/>
      <c r="Q15" s="172"/>
      <c r="R15" s="172"/>
      <c r="S15" s="173"/>
      <c r="T15" s="174">
        <f>'VOC eksploatacja samochody'!T57</f>
        <v>1</v>
      </c>
      <c r="U15" s="175">
        <f>'VOC eksploatacja samochody'!U57</f>
        <v>1</v>
      </c>
      <c r="V15" s="171">
        <f>'VOC eksploatacja samochody'!V57</f>
        <v>1</v>
      </c>
      <c r="W15" s="171">
        <f>'VOC eksploatacja samochody'!W57</f>
        <v>1</v>
      </c>
      <c r="X15" s="171">
        <f>'VOC eksploatacja samochody'!X57</f>
        <v>1</v>
      </c>
      <c r="Y15" s="171">
        <f>'VOC eksploatacja samochody'!Y57</f>
        <v>1</v>
      </c>
      <c r="Z15" s="171">
        <f>'VOC eksploatacja samochody'!Z57</f>
        <v>1</v>
      </c>
      <c r="AA15" s="171">
        <f>'VOC eksploatacja samochody'!AA57</f>
        <v>1</v>
      </c>
      <c r="AB15" s="171">
        <f>'VOC eksploatacja samochody'!AB57</f>
        <v>1</v>
      </c>
      <c r="AC15" s="171">
        <f>'VOC eksploatacja samochody'!AC57</f>
        <v>1</v>
      </c>
      <c r="AD15" s="171">
        <f>'VOC eksploatacja samochody'!AD57</f>
        <v>1</v>
      </c>
      <c r="AE15" s="174">
        <f>'VOC eksploatacja samochody'!AE57</f>
        <v>1</v>
      </c>
      <c r="AF15" s="171">
        <f>'VOC eksploatacja samochody'!AF57</f>
        <v>1</v>
      </c>
      <c r="AG15" s="171">
        <f>'VOC eksploatacja samochody'!AG57</f>
        <v>1</v>
      </c>
      <c r="AH15" s="171">
        <f>'VOC eksploatacja samochody'!AH57</f>
        <v>1</v>
      </c>
      <c r="AI15" s="171">
        <f>'VOC eksploatacja samochody'!AI57</f>
        <v>1</v>
      </c>
      <c r="AJ15" s="171">
        <f>'VOC eksploatacja samochody'!AJ57</f>
        <v>1</v>
      </c>
      <c r="AK15" s="171">
        <f>'VOC eksploatacja samochody'!AK57</f>
        <v>1</v>
      </c>
      <c r="AL15" s="171">
        <f>'VOC eksploatacja samochody'!AL57</f>
        <v>1</v>
      </c>
      <c r="AM15" s="171">
        <f>'VOC eksploatacja samochody'!AM57</f>
        <v>1</v>
      </c>
      <c r="AN15" s="171">
        <f>'VOC eksploatacja samochody'!AN57</f>
        <v>1</v>
      </c>
      <c r="AO15" s="171">
        <f>'VOC eksploatacja samochody'!AO57</f>
        <v>1</v>
      </c>
      <c r="AP15" s="171">
        <f>'VOC eksploatacja samochody'!AP57</f>
        <v>1</v>
      </c>
      <c r="AQ15" s="171">
        <f>'VOC eksploatacja samochody'!AQ57</f>
        <v>1</v>
      </c>
      <c r="AR15" s="171">
        <f>'VOC eksploatacja samochody'!AR57</f>
        <v>1</v>
      </c>
      <c r="AS15" s="171">
        <f>'VOC eksploatacja samochody'!AS57</f>
        <v>1</v>
      </c>
      <c r="AT15" s="171">
        <f>'VOC eksploatacja samochody'!AT57</f>
        <v>1</v>
      </c>
      <c r="AU15" s="171">
        <f>'VOC eksploatacja samochody'!AU57</f>
        <v>1</v>
      </c>
      <c r="AV15" s="171">
        <f>'VOC eksploatacja samochody'!AV57</f>
        <v>1</v>
      </c>
      <c r="AW15" s="171">
        <f>'VOC eksploatacja samochody'!AW57</f>
        <v>1</v>
      </c>
      <c r="AX15" s="171">
        <f>'VOC eksploatacja samochody'!AX57</f>
        <v>1</v>
      </c>
      <c r="AY15" s="174">
        <f>'VOC eksploatacja samochody'!AY57</f>
        <v>1</v>
      </c>
      <c r="AZ15" s="171">
        <f>'VOC eksploatacja samochody'!AZ57</f>
        <v>1</v>
      </c>
      <c r="BA15" s="171">
        <f>'VOC eksploatacja samochody'!BA57</f>
        <v>1</v>
      </c>
      <c r="BB15" s="171">
        <f>'VOC eksploatacja samochody'!BB57</f>
        <v>1</v>
      </c>
      <c r="BC15" s="171">
        <f>'VOC eksploatacja samochody'!BC57</f>
        <v>1</v>
      </c>
      <c r="BD15" s="171">
        <f>'VOC eksploatacja samochody'!BD57</f>
        <v>1</v>
      </c>
      <c r="BE15" s="171">
        <f>'VOC eksploatacja samochody'!BE57</f>
        <v>1</v>
      </c>
      <c r="BF15" s="171">
        <f>'VOC eksploatacja samochody'!BF57</f>
        <v>1</v>
      </c>
      <c r="BG15" s="171">
        <f>'VOC eksploatacja samochody'!BG57</f>
        <v>1</v>
      </c>
      <c r="BH15" s="171">
        <f>'VOC eksploatacja samochody'!BH57</f>
        <v>1</v>
      </c>
      <c r="BI15" s="171">
        <f>'VOC eksploatacja samochody'!BI57</f>
        <v>1</v>
      </c>
      <c r="BJ15" s="171">
        <f>'VOC eksploatacja samochody'!BJ57</f>
        <v>1</v>
      </c>
    </row>
    <row r="16" spans="1:62">
      <c r="A16" s="157" t="s">
        <v>75</v>
      </c>
      <c r="B16" s="172"/>
      <c r="C16" s="172"/>
      <c r="D16" s="172"/>
      <c r="E16" s="172"/>
      <c r="F16" s="172"/>
      <c r="G16" s="172"/>
      <c r="H16" s="172"/>
      <c r="I16" s="172"/>
      <c r="J16" s="172"/>
      <c r="K16" s="172"/>
      <c r="L16" s="172"/>
      <c r="M16" s="172"/>
      <c r="N16" s="172"/>
      <c r="O16" s="172"/>
      <c r="P16" s="172"/>
      <c r="Q16" s="172"/>
      <c r="R16" s="172"/>
      <c r="S16" s="173"/>
      <c r="T16" s="174">
        <f>'VOC eksploatacja samochody'!T58</f>
        <v>0</v>
      </c>
      <c r="U16" s="175">
        <f>'VOC eksploatacja samochody'!U58</f>
        <v>0</v>
      </c>
      <c r="V16" s="171">
        <f>'VOC eksploatacja samochody'!V58</f>
        <v>0</v>
      </c>
      <c r="W16" s="171">
        <f>'VOC eksploatacja samochody'!W58</f>
        <v>0</v>
      </c>
      <c r="X16" s="171">
        <f>'VOC eksploatacja samochody'!X58</f>
        <v>0</v>
      </c>
      <c r="Y16" s="171">
        <f>'VOC eksploatacja samochody'!Y58</f>
        <v>0</v>
      </c>
      <c r="Z16" s="171">
        <f>'VOC eksploatacja samochody'!Z58</f>
        <v>0</v>
      </c>
      <c r="AA16" s="171">
        <f>'VOC eksploatacja samochody'!AA58</f>
        <v>0</v>
      </c>
      <c r="AB16" s="171">
        <f>'VOC eksploatacja samochody'!AB58</f>
        <v>0</v>
      </c>
      <c r="AC16" s="171">
        <f>'VOC eksploatacja samochody'!AC58</f>
        <v>0</v>
      </c>
      <c r="AD16" s="171">
        <f>'VOC eksploatacja samochody'!AD58</f>
        <v>0</v>
      </c>
      <c r="AE16" s="174">
        <f>'VOC eksploatacja samochody'!AE58</f>
        <v>0</v>
      </c>
      <c r="AF16" s="171">
        <f>'VOC eksploatacja samochody'!AF58</f>
        <v>0</v>
      </c>
      <c r="AG16" s="171">
        <f>'VOC eksploatacja samochody'!AG58</f>
        <v>0</v>
      </c>
      <c r="AH16" s="171">
        <f>'VOC eksploatacja samochody'!AH58</f>
        <v>0</v>
      </c>
      <c r="AI16" s="171">
        <f>'VOC eksploatacja samochody'!AI58</f>
        <v>0</v>
      </c>
      <c r="AJ16" s="171">
        <f>'VOC eksploatacja samochody'!AJ58</f>
        <v>0</v>
      </c>
      <c r="AK16" s="171">
        <f>'VOC eksploatacja samochody'!AK58</f>
        <v>0</v>
      </c>
      <c r="AL16" s="171">
        <f>'VOC eksploatacja samochody'!AL58</f>
        <v>0</v>
      </c>
      <c r="AM16" s="171">
        <f>'VOC eksploatacja samochody'!AM58</f>
        <v>0</v>
      </c>
      <c r="AN16" s="171">
        <f>'VOC eksploatacja samochody'!AN58</f>
        <v>0</v>
      </c>
      <c r="AO16" s="171">
        <f>'VOC eksploatacja samochody'!AO58</f>
        <v>0</v>
      </c>
      <c r="AP16" s="171">
        <f>'VOC eksploatacja samochody'!AP58</f>
        <v>0</v>
      </c>
      <c r="AQ16" s="171">
        <f>'VOC eksploatacja samochody'!AQ58</f>
        <v>0</v>
      </c>
      <c r="AR16" s="171">
        <f>'VOC eksploatacja samochody'!AR58</f>
        <v>0</v>
      </c>
      <c r="AS16" s="171">
        <f>'VOC eksploatacja samochody'!AS58</f>
        <v>0</v>
      </c>
      <c r="AT16" s="171">
        <f>'VOC eksploatacja samochody'!AT58</f>
        <v>0</v>
      </c>
      <c r="AU16" s="171">
        <f>'VOC eksploatacja samochody'!AU58</f>
        <v>0</v>
      </c>
      <c r="AV16" s="171">
        <f>'VOC eksploatacja samochody'!AV58</f>
        <v>0</v>
      </c>
      <c r="AW16" s="171">
        <f>'VOC eksploatacja samochody'!AW58</f>
        <v>0</v>
      </c>
      <c r="AX16" s="171">
        <f>'VOC eksploatacja samochody'!AX58</f>
        <v>0</v>
      </c>
      <c r="AY16" s="174">
        <f>'VOC eksploatacja samochody'!AY58</f>
        <v>0</v>
      </c>
      <c r="AZ16" s="171">
        <f>'VOC eksploatacja samochody'!AZ58</f>
        <v>0</v>
      </c>
      <c r="BA16" s="171">
        <f>'VOC eksploatacja samochody'!BA58</f>
        <v>0</v>
      </c>
      <c r="BB16" s="171">
        <f>'VOC eksploatacja samochody'!BB58</f>
        <v>0</v>
      </c>
      <c r="BC16" s="171">
        <f>'VOC eksploatacja samochody'!BC58</f>
        <v>0</v>
      </c>
      <c r="BD16" s="171">
        <f>'VOC eksploatacja samochody'!BD58</f>
        <v>0</v>
      </c>
      <c r="BE16" s="171">
        <f>'VOC eksploatacja samochody'!BE58</f>
        <v>0</v>
      </c>
      <c r="BF16" s="171">
        <f>'VOC eksploatacja samochody'!BF58</f>
        <v>0</v>
      </c>
      <c r="BG16" s="171">
        <f>'VOC eksploatacja samochody'!BG58</f>
        <v>0</v>
      </c>
      <c r="BH16" s="171">
        <f>'VOC eksploatacja samochody'!BH58</f>
        <v>0</v>
      </c>
      <c r="BI16" s="171">
        <f>'VOC eksploatacja samochody'!BI58</f>
        <v>0</v>
      </c>
      <c r="BJ16" s="171">
        <f>'VOC eksploatacja samochody'!BJ58</f>
        <v>0</v>
      </c>
    </row>
    <row r="17" spans="1:61">
      <c r="A17" s="176"/>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row>
    <row r="18" spans="1:61">
      <c r="A18" s="645" t="str">
        <f>'VOC eksploatacja samochody'!$A$60</f>
        <v xml:space="preserve">W poniższych tabelach dane dla pojazdów drogowych spalinowych dotyczą całości reprezentatywnej floty pojazdów w Polsce z 2019 roku, z uwzględnieniem wszystkich rodzajów paliw. </v>
      </c>
      <c r="B18" s="645"/>
      <c r="C18" s="645"/>
      <c r="D18" s="645"/>
      <c r="E18" s="645"/>
      <c r="F18" s="645"/>
      <c r="G18" s="645"/>
      <c r="H18" s="645"/>
      <c r="I18" s="645"/>
      <c r="J18" s="645"/>
      <c r="K18" s="645"/>
      <c r="L18" s="645"/>
      <c r="M18" s="645"/>
      <c r="N18" s="645"/>
      <c r="O18" s="645"/>
      <c r="P18" s="645"/>
      <c r="Q18" s="645"/>
      <c r="R18" s="645"/>
      <c r="S18" s="645"/>
      <c r="T18" s="645"/>
      <c r="U18" s="645"/>
      <c r="V18" s="645"/>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row>
    <row r="19" spans="1:61" s="454" customFormat="1">
      <c r="A19" s="645"/>
      <c r="B19" s="645"/>
      <c r="C19" s="645"/>
      <c r="D19" s="645"/>
      <c r="E19" s="645"/>
      <c r="F19" s="645"/>
      <c r="G19" s="645"/>
      <c r="H19" s="645"/>
      <c r="I19" s="645"/>
      <c r="J19" s="645"/>
      <c r="K19" s="645"/>
      <c r="L19" s="645"/>
      <c r="M19" s="645"/>
      <c r="N19" s="645"/>
      <c r="O19" s="645"/>
      <c r="P19" s="645"/>
      <c r="Q19" s="645"/>
      <c r="R19" s="645"/>
      <c r="S19" s="645"/>
      <c r="T19" s="645"/>
      <c r="U19" s="645"/>
      <c r="V19" s="645"/>
    </row>
    <row r="20" spans="1:61">
      <c r="A20" s="645" t="str">
        <f>'VOC eksploatacja samochody'!$A$62</f>
        <v xml:space="preserve">Dla uproszczenia należy przyjąć, że aktualnie udział pojazdów elektrycznych (w tym również hybrydowych-elektrycznych) w całej flocie pojazdów poruszających się po drogach w Polsce wynosi 0%. </v>
      </c>
      <c r="B20" s="645"/>
      <c r="C20" s="645"/>
      <c r="D20" s="645"/>
      <c r="E20" s="645"/>
      <c r="F20" s="645"/>
      <c r="G20" s="645"/>
      <c r="H20" s="645"/>
      <c r="I20" s="645"/>
      <c r="J20" s="645"/>
      <c r="K20" s="645"/>
      <c r="L20" s="645"/>
      <c r="M20" s="645"/>
      <c r="N20" s="645"/>
      <c r="O20" s="645"/>
      <c r="P20" s="645"/>
      <c r="Q20" s="645"/>
      <c r="R20" s="645"/>
      <c r="S20" s="645"/>
      <c r="T20" s="645"/>
      <c r="U20" s="645"/>
      <c r="V20" s="645"/>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row>
    <row r="21" spans="1:61" s="454" customFormat="1">
      <c r="A21" s="645"/>
      <c r="B21" s="645"/>
      <c r="C21" s="645"/>
      <c r="D21" s="645"/>
      <c r="E21" s="645"/>
      <c r="F21" s="645"/>
      <c r="G21" s="645"/>
      <c r="H21" s="645"/>
      <c r="I21" s="645"/>
      <c r="J21" s="645"/>
      <c r="K21" s="645"/>
      <c r="L21" s="645"/>
      <c r="M21" s="645"/>
      <c r="N21" s="645"/>
      <c r="O21" s="645"/>
      <c r="P21" s="645"/>
      <c r="Q21" s="645"/>
      <c r="R21" s="645"/>
      <c r="S21" s="645"/>
      <c r="T21" s="645"/>
      <c r="U21" s="645"/>
      <c r="V21" s="645"/>
    </row>
    <row r="22" spans="1:61">
      <c r="A22" s="311"/>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row>
    <row r="23" spans="1:61">
      <c r="A23" s="315" t="str">
        <f>'VOC eksploatacja samochody'!$A$65</f>
        <v xml:space="preserve">Dla potrzeb analizy projektów przedstawianych do oceny przez CUPT należy przyjąć następujące założenia: </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row>
    <row r="24" spans="1:61">
      <c r="A24" s="140" t="str">
        <f>'VOC eksploatacja samochody'!$A$66</f>
        <v xml:space="preserve">Wskaźniki zużycia paliwa przez pojazdy spalinowe (łącznie dla wszystkich rodzajów paliw) pozostaną na wyjściowym poziomie (2019). </v>
      </c>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row>
    <row r="25" spans="1:61">
      <c r="A25" s="140" t="str">
        <f>'VOC eksploatacja samochody'!$A$67</f>
        <v xml:space="preserve">Aktualnie flota pojazdów drogowych składa się w 100% zpojazdów spalinowych i 0% pojazdów elektrycznych. </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row>
    <row r="26" spans="1:61">
      <c r="A26" s="684" t="str">
        <f>'VOC eksploatacja samochody'!$A$68</f>
        <v xml:space="preserve">We flocie samochodów osobowych udziały pojazdów elektrycznych będą rosły, a pojazdów spalinowych – malały (w tym samym tempie dla wszystkich rodzajów paliw), zgodnie z przyjętym scenariuszem prognoz. </v>
      </c>
      <c r="B26" s="684"/>
      <c r="C26" s="684"/>
      <c r="D26" s="684"/>
      <c r="E26" s="684"/>
      <c r="F26" s="684"/>
      <c r="G26" s="684"/>
      <c r="H26" s="684"/>
      <c r="I26" s="684"/>
      <c r="J26" s="684"/>
      <c r="K26" s="684"/>
      <c r="L26" s="684"/>
      <c r="M26" s="684"/>
      <c r="N26" s="684"/>
      <c r="O26" s="684"/>
      <c r="P26" s="684"/>
      <c r="Q26" s="684"/>
      <c r="R26" s="684"/>
      <c r="S26" s="684"/>
      <c r="T26" s="684"/>
      <c r="U26" s="684"/>
      <c r="V26" s="684"/>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row>
    <row r="27" spans="1:61" s="454" customFormat="1">
      <c r="A27" s="684"/>
      <c r="B27" s="684"/>
      <c r="C27" s="684"/>
      <c r="D27" s="684"/>
      <c r="E27" s="684"/>
      <c r="F27" s="684"/>
      <c r="G27" s="684"/>
      <c r="H27" s="684"/>
      <c r="I27" s="684"/>
      <c r="J27" s="684"/>
      <c r="K27" s="684"/>
      <c r="L27" s="684"/>
      <c r="M27" s="684"/>
      <c r="N27" s="684"/>
      <c r="O27" s="684"/>
      <c r="P27" s="684"/>
      <c r="Q27" s="684"/>
      <c r="R27" s="684"/>
      <c r="S27" s="684"/>
      <c r="T27" s="684"/>
      <c r="U27" s="684"/>
      <c r="V27" s="684"/>
    </row>
    <row r="28" spans="1:61">
      <c r="A28" s="684" t="str">
        <f>'VOC eksploatacja samochody'!$A$70</f>
        <v xml:space="preserve">Pomiędzy stanem aktualnym i rokiem 2030, a następnie pomiędzy latami scenariusza 2030 i 2050, udziały będą się zmieniały według interpolacji liniowej. Dla dalszych lat należy przyjąć strukturę jak w roku 2050. </v>
      </c>
      <c r="B28" s="684"/>
      <c r="C28" s="684"/>
      <c r="D28" s="684"/>
      <c r="E28" s="684"/>
      <c r="F28" s="684"/>
      <c r="G28" s="684"/>
      <c r="H28" s="684"/>
      <c r="I28" s="684"/>
      <c r="J28" s="684"/>
      <c r="K28" s="684"/>
      <c r="L28" s="684"/>
      <c r="M28" s="684"/>
      <c r="N28" s="684"/>
      <c r="O28" s="684"/>
      <c r="P28" s="684"/>
      <c r="Q28" s="684"/>
      <c r="R28" s="684"/>
      <c r="S28" s="684"/>
      <c r="T28" s="684"/>
      <c r="U28" s="684"/>
      <c r="V28" s="684"/>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row>
    <row r="29" spans="1:61" s="454" customFormat="1">
      <c r="A29" s="684"/>
      <c r="B29" s="684"/>
      <c r="C29" s="684"/>
      <c r="D29" s="684"/>
      <c r="E29" s="684"/>
      <c r="F29" s="684"/>
      <c r="G29" s="684"/>
      <c r="H29" s="684"/>
      <c r="I29" s="684"/>
      <c r="J29" s="684"/>
      <c r="K29" s="684"/>
      <c r="L29" s="684"/>
      <c r="M29" s="684"/>
      <c r="N29" s="684"/>
      <c r="O29" s="684"/>
      <c r="P29" s="684"/>
      <c r="Q29" s="684"/>
      <c r="R29" s="684"/>
      <c r="S29" s="684"/>
      <c r="T29" s="684"/>
      <c r="U29" s="684"/>
      <c r="V29" s="684"/>
    </row>
    <row r="30" spans="1:61">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row>
    <row r="31" spans="1:61"/>
    <row r="32" spans="1:61"/>
    <row r="33" spans="1:34">
      <c r="A33" s="131" t="s">
        <v>370</v>
      </c>
      <c r="B33" s="131"/>
      <c r="C33" s="131"/>
      <c r="D33" s="131"/>
      <c r="E33" s="131"/>
      <c r="F33" s="131"/>
      <c r="G33" s="131"/>
      <c r="H33" s="131"/>
      <c r="I33" s="131"/>
      <c r="J33" s="131"/>
      <c r="K33" s="131"/>
      <c r="L33" s="131"/>
      <c r="M33" s="131"/>
      <c r="N33" s="131"/>
      <c r="O33" s="131"/>
      <c r="P33" s="131"/>
      <c r="Q33" s="131"/>
      <c r="R33" s="131"/>
      <c r="S33" s="131"/>
      <c r="T33" s="131"/>
      <c r="U33" s="311"/>
      <c r="V33" s="311"/>
      <c r="W33" s="311"/>
      <c r="X33" s="311"/>
      <c r="Y33" s="311"/>
      <c r="Z33" s="311"/>
      <c r="AA33" s="311"/>
      <c r="AB33" s="311"/>
      <c r="AC33" s="311"/>
      <c r="AD33" s="311"/>
      <c r="AE33" s="311"/>
      <c r="AF33" s="311"/>
      <c r="AG33" s="311"/>
      <c r="AH33" s="311"/>
    </row>
    <row r="34" spans="1:34">
      <c r="A34" s="311"/>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row>
    <row r="35" spans="1:34" ht="18">
      <c r="A35" s="1" t="s">
        <v>407</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row>
    <row r="36" spans="1:34">
      <c r="A36" s="649" t="str">
        <f>'VOC eksploatacja samochody'!$A$78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36" s="649"/>
      <c r="C36" s="649"/>
      <c r="D36" s="649"/>
      <c r="E36" s="649"/>
      <c r="F36" s="649"/>
      <c r="G36" s="649"/>
      <c r="H36" s="649"/>
      <c r="I36" s="649"/>
      <c r="J36" s="649"/>
      <c r="K36" s="649"/>
      <c r="L36" s="649"/>
      <c r="M36" s="649"/>
      <c r="N36" s="649"/>
      <c r="O36" s="649"/>
      <c r="P36" s="649"/>
      <c r="Q36" s="649"/>
      <c r="R36" s="649"/>
      <c r="S36" s="649"/>
      <c r="T36" s="649"/>
      <c r="U36" s="649"/>
      <c r="V36" s="649"/>
      <c r="W36" s="311"/>
      <c r="X36" s="311"/>
      <c r="Y36" s="311"/>
      <c r="Z36" s="311"/>
      <c r="AA36" s="311"/>
      <c r="AB36" s="311"/>
      <c r="AC36" s="311"/>
      <c r="AD36" s="311"/>
      <c r="AE36" s="311"/>
      <c r="AF36" s="311"/>
      <c r="AG36" s="311"/>
      <c r="AH36" s="311"/>
    </row>
    <row r="37" spans="1:34" s="454" customFormat="1">
      <c r="A37" s="649"/>
      <c r="B37" s="649"/>
      <c r="C37" s="649"/>
      <c r="D37" s="649"/>
      <c r="E37" s="649"/>
      <c r="F37" s="649"/>
      <c r="G37" s="649"/>
      <c r="H37" s="649"/>
      <c r="I37" s="649"/>
      <c r="J37" s="649"/>
      <c r="K37" s="649"/>
      <c r="L37" s="649"/>
      <c r="M37" s="649"/>
      <c r="N37" s="649"/>
      <c r="O37" s="649"/>
      <c r="P37" s="649"/>
      <c r="Q37" s="649"/>
      <c r="R37" s="649"/>
      <c r="S37" s="649"/>
      <c r="T37" s="649"/>
      <c r="U37" s="649"/>
      <c r="V37" s="649"/>
    </row>
    <row r="38" spans="1:34" s="454" customFormat="1" ht="15.75" thickBot="1">
      <c r="A38" s="649"/>
      <c r="B38" s="649"/>
      <c r="C38" s="649"/>
      <c r="D38" s="649"/>
      <c r="E38" s="649"/>
      <c r="F38" s="649"/>
      <c r="G38" s="649"/>
      <c r="H38" s="649"/>
      <c r="I38" s="649"/>
      <c r="J38" s="649"/>
      <c r="K38" s="649"/>
      <c r="L38" s="649"/>
      <c r="M38" s="649"/>
      <c r="N38" s="649"/>
      <c r="O38" s="649"/>
      <c r="P38" s="649"/>
      <c r="Q38" s="649"/>
      <c r="R38" s="649"/>
      <c r="S38" s="649"/>
      <c r="T38" s="649"/>
      <c r="U38" s="649"/>
      <c r="V38" s="649"/>
    </row>
    <row r="39" spans="1:34">
      <c r="A39" s="311"/>
      <c r="B39" s="311"/>
      <c r="C39" s="311"/>
      <c r="D39" s="311"/>
      <c r="E39" s="311"/>
      <c r="F39" s="311"/>
      <c r="G39" s="311"/>
      <c r="H39" s="311"/>
      <c r="I39" s="311"/>
      <c r="J39" s="311"/>
      <c r="K39" s="311"/>
      <c r="L39" s="311"/>
      <c r="M39" s="311"/>
      <c r="N39" s="311"/>
      <c r="O39" s="311"/>
      <c r="P39" s="311"/>
      <c r="Q39" s="311"/>
      <c r="S39" s="674" t="s">
        <v>408</v>
      </c>
      <c r="T39" s="675"/>
      <c r="U39" s="676"/>
      <c r="W39" s="674" t="s">
        <v>408</v>
      </c>
      <c r="X39" s="675"/>
      <c r="Y39" s="676"/>
      <c r="Z39" s="311"/>
      <c r="AA39" s="673" t="str">
        <f>'VOC eksploatacja samochody'!$AA$81</f>
        <v xml:space="preserve">Według opracowania źródłowego, poniższe mnożniki dotyczą wszystkich kategorii kosztów użytkowników dróg, oprócz kosztów czasu. </v>
      </c>
      <c r="AB39" s="673"/>
      <c r="AC39" s="673"/>
      <c r="AD39" s="673"/>
      <c r="AE39" s="673"/>
      <c r="AF39" s="673"/>
      <c r="AG39" s="673"/>
      <c r="AH39" s="673"/>
    </row>
    <row r="40" spans="1:34" ht="15.75" thickBot="1">
      <c r="A40" s="311"/>
      <c r="B40" s="311"/>
      <c r="C40" s="311"/>
      <c r="D40" s="311"/>
      <c r="E40" s="311"/>
      <c r="F40" s="311"/>
      <c r="G40" s="311"/>
      <c r="H40" s="311"/>
      <c r="I40" s="311"/>
      <c r="J40" s="311"/>
      <c r="K40" s="311"/>
      <c r="L40" s="311"/>
      <c r="M40" s="311"/>
      <c r="N40" s="311"/>
      <c r="O40" s="311"/>
      <c r="P40" s="311"/>
      <c r="Q40" s="311"/>
      <c r="S40" s="670" t="s">
        <v>7</v>
      </c>
      <c r="T40" s="671"/>
      <c r="U40" s="672"/>
      <c r="W40" s="670" t="s">
        <v>7</v>
      </c>
      <c r="X40" s="671"/>
      <c r="Y40" s="672"/>
      <c r="Z40" s="311"/>
      <c r="AA40" s="673"/>
      <c r="AB40" s="673"/>
      <c r="AC40" s="673"/>
      <c r="AD40" s="673"/>
      <c r="AE40" s="673"/>
      <c r="AF40" s="673"/>
      <c r="AG40" s="673"/>
      <c r="AH40" s="673"/>
    </row>
    <row r="41" spans="1:34">
      <c r="A41" s="311"/>
      <c r="B41" s="311"/>
      <c r="C41" s="311"/>
      <c r="D41" s="311"/>
      <c r="E41" s="311"/>
      <c r="F41" s="311"/>
      <c r="G41" s="311"/>
      <c r="H41" s="311"/>
      <c r="I41" s="311"/>
      <c r="J41" s="311"/>
      <c r="K41" s="311"/>
      <c r="L41" s="311"/>
      <c r="M41" s="311"/>
      <c r="N41" s="311"/>
      <c r="O41" s="311"/>
      <c r="P41" s="311"/>
      <c r="Q41" s="311"/>
      <c r="S41" s="670" t="s">
        <v>8</v>
      </c>
      <c r="T41" s="671"/>
      <c r="U41" s="672"/>
      <c r="W41" s="670" t="s">
        <v>9</v>
      </c>
      <c r="X41" s="671"/>
      <c r="Y41" s="672"/>
      <c r="Z41" s="311"/>
      <c r="AA41" s="124" t="s">
        <v>45</v>
      </c>
      <c r="AB41" s="126"/>
      <c r="AC41" s="125"/>
      <c r="AD41" s="311"/>
      <c r="AE41" s="311"/>
      <c r="AF41" s="311"/>
      <c r="AG41" s="311"/>
      <c r="AH41" s="311"/>
    </row>
    <row r="42" spans="1:34" ht="15.75" thickBot="1">
      <c r="A42" s="311"/>
      <c r="B42" s="311"/>
      <c r="C42" s="311"/>
      <c r="D42" s="311"/>
      <c r="E42" s="311"/>
      <c r="F42" s="311"/>
      <c r="G42" s="311"/>
      <c r="H42" s="311"/>
      <c r="I42" s="311"/>
      <c r="J42" s="311"/>
      <c r="K42" s="311"/>
      <c r="L42" s="311"/>
      <c r="M42" s="311"/>
      <c r="N42" s="311"/>
      <c r="O42" s="311"/>
      <c r="P42" s="311"/>
      <c r="Q42" s="311"/>
      <c r="S42" s="25" t="s">
        <v>11</v>
      </c>
      <c r="T42" s="20" t="s">
        <v>10</v>
      </c>
      <c r="U42" s="21" t="s">
        <v>6</v>
      </c>
      <c r="W42" s="25" t="s">
        <v>11</v>
      </c>
      <c r="X42" s="20" t="s">
        <v>10</v>
      </c>
      <c r="Y42" s="21" t="s">
        <v>6</v>
      </c>
      <c r="Z42" s="311"/>
      <c r="AA42" s="25" t="s">
        <v>11</v>
      </c>
      <c r="AB42" s="20" t="s">
        <v>10</v>
      </c>
      <c r="AC42" s="21" t="s">
        <v>6</v>
      </c>
      <c r="AD42" s="311"/>
      <c r="AE42" s="311"/>
      <c r="AF42" s="311"/>
      <c r="AG42" s="311"/>
      <c r="AH42" s="311"/>
    </row>
    <row r="43" spans="1:34">
      <c r="A43" s="311"/>
      <c r="B43" s="311"/>
      <c r="C43" s="311"/>
      <c r="D43" s="311"/>
      <c r="E43" s="311"/>
      <c r="F43" s="311"/>
      <c r="G43" s="311"/>
      <c r="H43" s="311"/>
      <c r="I43" s="311"/>
      <c r="J43" s="311"/>
      <c r="K43" s="311"/>
      <c r="L43" s="311"/>
      <c r="M43" s="311"/>
      <c r="N43" s="311"/>
      <c r="O43" s="311"/>
      <c r="P43" s="311"/>
      <c r="Q43" s="311"/>
      <c r="S43" s="218" t="s">
        <v>14</v>
      </c>
      <c r="T43" s="219">
        <v>651.65168715951938</v>
      </c>
      <c r="U43" s="220">
        <v>1639.6119081728405</v>
      </c>
      <c r="W43" s="218" t="s">
        <v>14</v>
      </c>
      <c r="X43" s="219">
        <f t="shared" ref="X43:X56" si="4">T43*$AB43</f>
        <v>724.96250196496533</v>
      </c>
      <c r="Y43" s="220">
        <f t="shared" ref="Y43:Y56" si="5">U43*$AC43</f>
        <v>1844.5633966944456</v>
      </c>
      <c r="Z43" s="311"/>
      <c r="AA43" s="22">
        <v>5</v>
      </c>
      <c r="AB43" s="94">
        <f>'VOC eksploatacja samochody'!AB85</f>
        <v>1.1125</v>
      </c>
      <c r="AC43" s="95">
        <f>'VOC eksploatacja samochody'!AC85</f>
        <v>1.125</v>
      </c>
      <c r="AD43" s="311"/>
      <c r="AE43" s="311"/>
      <c r="AF43" s="311"/>
      <c r="AG43" s="311"/>
      <c r="AH43" s="311"/>
    </row>
    <row r="44" spans="1:34">
      <c r="A44" s="311"/>
      <c r="B44" s="311"/>
      <c r="C44" s="311"/>
      <c r="D44" s="311"/>
      <c r="E44" s="311"/>
      <c r="F44" s="311"/>
      <c r="G44" s="311"/>
      <c r="H44" s="311"/>
      <c r="I44" s="311"/>
      <c r="J44" s="311"/>
      <c r="K44" s="311"/>
      <c r="L44" s="311"/>
      <c r="M44" s="311"/>
      <c r="N44" s="311"/>
      <c r="O44" s="311"/>
      <c r="P44" s="311"/>
      <c r="Q44" s="311"/>
      <c r="S44" s="23" t="s">
        <v>27</v>
      </c>
      <c r="T44" s="96">
        <v>412.7201061515525</v>
      </c>
      <c r="U44" s="97">
        <v>913.17233760594104</v>
      </c>
      <c r="W44" s="23" t="s">
        <v>27</v>
      </c>
      <c r="X44" s="96">
        <f t="shared" si="4"/>
        <v>459.15111809360218</v>
      </c>
      <c r="Y44" s="97">
        <f t="shared" si="5"/>
        <v>1027.3188798066838</v>
      </c>
      <c r="Z44" s="311"/>
      <c r="AA44" s="23">
        <v>15</v>
      </c>
      <c r="AB44" s="96">
        <f>'VOC eksploatacja samochody'!AB86</f>
        <v>1.1125</v>
      </c>
      <c r="AC44" s="97">
        <f>'VOC eksploatacja samochody'!AC86</f>
        <v>1.125</v>
      </c>
      <c r="AD44" s="311"/>
      <c r="AE44" s="311"/>
      <c r="AF44" s="311"/>
      <c r="AG44" s="311"/>
      <c r="AH44" s="311"/>
    </row>
    <row r="45" spans="1:34">
      <c r="A45" s="311"/>
      <c r="B45" s="311"/>
      <c r="C45" s="311"/>
      <c r="D45" s="311"/>
      <c r="E45" s="311"/>
      <c r="F45" s="311"/>
      <c r="G45" s="311"/>
      <c r="H45" s="311"/>
      <c r="I45" s="311"/>
      <c r="J45" s="311"/>
      <c r="K45" s="311"/>
      <c r="L45" s="311"/>
      <c r="M45" s="311"/>
      <c r="N45" s="311"/>
      <c r="O45" s="311"/>
      <c r="P45" s="311"/>
      <c r="Q45" s="311"/>
      <c r="S45" s="23" t="s">
        <v>28</v>
      </c>
      <c r="T45" s="96">
        <v>314.4581505191743</v>
      </c>
      <c r="U45" s="97">
        <v>694.51788883595782</v>
      </c>
      <c r="W45" s="23" t="s">
        <v>28</v>
      </c>
      <c r="X45" s="96">
        <f t="shared" si="4"/>
        <v>349.83469245258141</v>
      </c>
      <c r="Y45" s="97">
        <f t="shared" si="5"/>
        <v>781.33262494045255</v>
      </c>
      <c r="Z45" s="311"/>
      <c r="AA45" s="23">
        <v>25</v>
      </c>
      <c r="AB45" s="96">
        <f>'VOC eksploatacja samochody'!AB87</f>
        <v>1.1125</v>
      </c>
      <c r="AC45" s="97">
        <f>'VOC eksploatacja samochody'!AC87</f>
        <v>1.125</v>
      </c>
      <c r="AD45" s="311"/>
      <c r="AE45" s="311"/>
      <c r="AF45" s="311"/>
      <c r="AG45" s="311"/>
      <c r="AH45" s="311"/>
    </row>
    <row r="46" spans="1:34">
      <c r="A46" s="311"/>
      <c r="B46" s="311"/>
      <c r="C46" s="311"/>
      <c r="D46" s="311"/>
      <c r="E46" s="311"/>
      <c r="F46" s="311"/>
      <c r="G46" s="311"/>
      <c r="H46" s="311"/>
      <c r="I46" s="311"/>
      <c r="J46" s="311"/>
      <c r="K46" s="311"/>
      <c r="L46" s="311"/>
      <c r="M46" s="311"/>
      <c r="N46" s="311"/>
      <c r="O46" s="311"/>
      <c r="P46" s="311"/>
      <c r="Q46" s="311"/>
      <c r="S46" s="23" t="s">
        <v>29</v>
      </c>
      <c r="T46" s="96">
        <v>255.38574188272048</v>
      </c>
      <c r="U46" s="97">
        <v>583.51998990877598</v>
      </c>
      <c r="W46" s="23" t="s">
        <v>29</v>
      </c>
      <c r="X46" s="96">
        <f t="shared" si="4"/>
        <v>284.11663784452657</v>
      </c>
      <c r="Y46" s="97">
        <f t="shared" si="5"/>
        <v>656.45998864737294</v>
      </c>
      <c r="Z46" s="311"/>
      <c r="AA46" s="23">
        <v>35</v>
      </c>
      <c r="AB46" s="96">
        <f>'VOC eksploatacja samochody'!AB88</f>
        <v>1.1125</v>
      </c>
      <c r="AC46" s="97">
        <f>'VOC eksploatacja samochody'!AC88</f>
        <v>1.125</v>
      </c>
      <c r="AD46" s="311"/>
      <c r="AE46" s="311"/>
      <c r="AF46" s="311"/>
      <c r="AG46" s="311"/>
      <c r="AH46" s="311"/>
    </row>
    <row r="47" spans="1:34">
      <c r="A47" s="311"/>
      <c r="B47" s="311"/>
      <c r="C47" s="311"/>
      <c r="D47" s="311"/>
      <c r="E47" s="311"/>
      <c r="F47" s="311"/>
      <c r="G47" s="311"/>
      <c r="H47" s="311"/>
      <c r="I47" s="311"/>
      <c r="J47" s="311"/>
      <c r="K47" s="311"/>
      <c r="L47" s="311"/>
      <c r="M47" s="311"/>
      <c r="N47" s="311"/>
      <c r="O47" s="311"/>
      <c r="P47" s="311"/>
      <c r="Q47" s="311"/>
      <c r="S47" s="23" t="s">
        <v>30</v>
      </c>
      <c r="T47" s="96">
        <v>216.347012868332</v>
      </c>
      <c r="U47" s="97">
        <v>522.58895609446085</v>
      </c>
      <c r="W47" s="23" t="s">
        <v>30</v>
      </c>
      <c r="X47" s="96">
        <f t="shared" si="4"/>
        <v>240.68605181601936</v>
      </c>
      <c r="Y47" s="97">
        <f t="shared" si="5"/>
        <v>587.91257560626843</v>
      </c>
      <c r="Z47" s="311"/>
      <c r="AA47" s="23">
        <v>45</v>
      </c>
      <c r="AB47" s="96">
        <f>'VOC eksploatacja samochody'!AB89</f>
        <v>1.1125</v>
      </c>
      <c r="AC47" s="97">
        <f>'VOC eksploatacja samochody'!AC89</f>
        <v>1.125</v>
      </c>
      <c r="AD47" s="311"/>
      <c r="AE47" s="311"/>
      <c r="AF47" s="311"/>
      <c r="AG47" s="311"/>
      <c r="AH47" s="311"/>
    </row>
    <row r="48" spans="1:34">
      <c r="A48" s="311"/>
      <c r="B48" s="311"/>
      <c r="C48" s="311"/>
      <c r="D48" s="311"/>
      <c r="E48" s="311"/>
      <c r="F48" s="311"/>
      <c r="G48" s="311"/>
      <c r="H48" s="311"/>
      <c r="I48" s="311"/>
      <c r="J48" s="311"/>
      <c r="K48" s="311"/>
      <c r="L48" s="311"/>
      <c r="M48" s="311"/>
      <c r="N48" s="311"/>
      <c r="O48" s="311"/>
      <c r="P48" s="311"/>
      <c r="Q48" s="311"/>
      <c r="S48" s="23" t="s">
        <v>31</v>
      </c>
      <c r="T48" s="96">
        <v>190.2778027438263</v>
      </c>
      <c r="U48" s="97">
        <v>490.17560067083275</v>
      </c>
      <c r="W48" s="23" t="s">
        <v>31</v>
      </c>
      <c r="X48" s="96">
        <f t="shared" si="4"/>
        <v>215.25176435395352</v>
      </c>
      <c r="Y48" s="97">
        <f t="shared" si="5"/>
        <v>561.65954243532917</v>
      </c>
      <c r="Z48" s="311"/>
      <c r="AA48" s="23">
        <v>55</v>
      </c>
      <c r="AB48" s="96">
        <f>'VOC eksploatacja samochody'!AB90</f>
        <v>1.1312500000000001</v>
      </c>
      <c r="AC48" s="97">
        <f>'VOC eksploatacja samochody'!AC90</f>
        <v>1.1458333333333333</v>
      </c>
      <c r="AD48" s="311"/>
      <c r="AE48" s="311"/>
      <c r="AF48" s="311"/>
      <c r="AG48" s="311"/>
      <c r="AH48" s="311"/>
    </row>
    <row r="49" spans="1:34">
      <c r="A49" s="311"/>
      <c r="B49" s="311"/>
      <c r="C49" s="311"/>
      <c r="D49" s="311"/>
      <c r="E49" s="311"/>
      <c r="F49" s="311"/>
      <c r="G49" s="311"/>
      <c r="H49" s="311"/>
      <c r="I49" s="311"/>
      <c r="J49" s="311"/>
      <c r="K49" s="311"/>
      <c r="L49" s="311"/>
      <c r="M49" s="311"/>
      <c r="N49" s="311"/>
      <c r="O49" s="311"/>
      <c r="P49" s="311"/>
      <c r="Q49" s="311"/>
      <c r="S49" s="23" t="s">
        <v>32</v>
      </c>
      <c r="T49" s="96">
        <v>173.75326863505259</v>
      </c>
      <c r="U49" s="97">
        <v>474.97409612620265</v>
      </c>
      <c r="W49" s="23" t="s">
        <v>32</v>
      </c>
      <c r="X49" s="96">
        <f t="shared" si="4"/>
        <v>199.81625893031051</v>
      </c>
      <c r="Y49" s="97">
        <f t="shared" si="5"/>
        <v>554.13644548056982</v>
      </c>
      <c r="Z49" s="311"/>
      <c r="AA49" s="23">
        <v>65</v>
      </c>
      <c r="AB49" s="96">
        <f>'VOC eksploatacja samochody'!AB91</f>
        <v>1.1500000000000001</v>
      </c>
      <c r="AC49" s="97">
        <f>'VOC eksploatacja samochody'!AC91</f>
        <v>1.1666666666666667</v>
      </c>
      <c r="AD49" s="311"/>
      <c r="AE49" s="311"/>
      <c r="AF49" s="311"/>
      <c r="AG49" s="311"/>
      <c r="AH49" s="311"/>
    </row>
    <row r="50" spans="1:34">
      <c r="A50" s="311"/>
      <c r="B50" s="311"/>
      <c r="C50" s="311"/>
      <c r="D50" s="311"/>
      <c r="E50" s="311"/>
      <c r="F50" s="311"/>
      <c r="G50" s="311"/>
      <c r="H50" s="311"/>
      <c r="I50" s="311"/>
      <c r="J50" s="311"/>
      <c r="K50" s="311"/>
      <c r="L50" s="311"/>
      <c r="M50" s="311"/>
      <c r="N50" s="311"/>
      <c r="O50" s="311"/>
      <c r="P50" s="311"/>
      <c r="Q50" s="311"/>
      <c r="S50" s="23" t="s">
        <v>33</v>
      </c>
      <c r="T50" s="96">
        <v>164.82997076097206</v>
      </c>
      <c r="U50" s="97">
        <v>470.83081135241491</v>
      </c>
      <c r="W50" s="23" t="s">
        <v>33</v>
      </c>
      <c r="X50" s="96">
        <f t="shared" si="4"/>
        <v>192.64502832688612</v>
      </c>
      <c r="Y50" s="97">
        <f t="shared" si="5"/>
        <v>559.11158848099274</v>
      </c>
      <c r="Z50" s="311"/>
      <c r="AA50" s="23">
        <v>75</v>
      </c>
      <c r="AB50" s="96">
        <f>'VOC eksploatacja samochody'!AB92</f>
        <v>1.1687500000000002</v>
      </c>
      <c r="AC50" s="97">
        <f>'VOC eksploatacja samochody'!AC92</f>
        <v>1.1875</v>
      </c>
      <c r="AD50" s="311"/>
      <c r="AE50" s="311"/>
      <c r="AF50" s="311"/>
      <c r="AG50" s="311"/>
      <c r="AH50" s="311"/>
    </row>
    <row r="51" spans="1:34">
      <c r="A51" s="311"/>
      <c r="B51" s="311"/>
      <c r="C51" s="311"/>
      <c r="D51" s="311"/>
      <c r="E51" s="311"/>
      <c r="F51" s="311"/>
      <c r="G51" s="311"/>
      <c r="H51" s="311"/>
      <c r="I51" s="311"/>
      <c r="J51" s="311"/>
      <c r="K51" s="311"/>
      <c r="L51" s="311"/>
      <c r="M51" s="311"/>
      <c r="N51" s="311"/>
      <c r="O51" s="311"/>
      <c r="P51" s="311"/>
      <c r="Q51" s="311"/>
      <c r="S51" s="99" t="s">
        <v>34</v>
      </c>
      <c r="T51" s="100">
        <v>162.28446761306157</v>
      </c>
      <c r="U51" s="98">
        <v>475.45541756475978</v>
      </c>
      <c r="W51" s="99" t="s">
        <v>34</v>
      </c>
      <c r="X51" s="100">
        <f t="shared" si="4"/>
        <v>192.7128052905106</v>
      </c>
      <c r="Y51" s="98">
        <f t="shared" si="5"/>
        <v>574.50862955741809</v>
      </c>
      <c r="Z51" s="311"/>
      <c r="AA51" s="99">
        <v>85</v>
      </c>
      <c r="AB51" s="96">
        <f>'VOC eksploatacja samochody'!AB93</f>
        <v>1.1875</v>
      </c>
      <c r="AC51" s="97">
        <f>'VOC eksploatacja samochody'!AC93</f>
        <v>1.2083333333333333</v>
      </c>
      <c r="AD51" s="311"/>
      <c r="AE51" s="311"/>
      <c r="AF51" s="311"/>
      <c r="AG51" s="311"/>
      <c r="AH51" s="311"/>
    </row>
    <row r="52" spans="1:34">
      <c r="A52" s="311"/>
      <c r="B52" s="311"/>
      <c r="C52" s="311"/>
      <c r="D52" s="311"/>
      <c r="E52" s="311"/>
      <c r="F52" s="311"/>
      <c r="G52" s="311"/>
      <c r="H52" s="311"/>
      <c r="I52" s="311"/>
      <c r="J52" s="311"/>
      <c r="K52" s="311"/>
      <c r="L52" s="311"/>
      <c r="M52" s="311"/>
      <c r="N52" s="311"/>
      <c r="O52" s="311"/>
      <c r="P52" s="311"/>
      <c r="Q52" s="311"/>
      <c r="S52" s="99" t="s">
        <v>35</v>
      </c>
      <c r="T52" s="100">
        <v>165.28743160204351</v>
      </c>
      <c r="U52" s="98">
        <v>493.09182952372709</v>
      </c>
      <c r="W52" s="99" t="s">
        <v>35</v>
      </c>
      <c r="X52" s="100">
        <f t="shared" si="4"/>
        <v>199.37796436996499</v>
      </c>
      <c r="Y52" s="98">
        <f t="shared" si="5"/>
        <v>606.0920404562479</v>
      </c>
      <c r="Z52" s="311"/>
      <c r="AA52" s="99">
        <v>95</v>
      </c>
      <c r="AB52" s="96">
        <f>'VOC eksploatacja samochody'!AB94</f>
        <v>1.20625</v>
      </c>
      <c r="AC52" s="97">
        <f>'VOC eksploatacja samochody'!AC94</f>
        <v>1.2291666666666667</v>
      </c>
      <c r="AD52" s="311"/>
      <c r="AE52" s="311"/>
      <c r="AF52" s="311"/>
      <c r="AG52" s="311"/>
      <c r="AH52" s="311"/>
    </row>
    <row r="53" spans="1:34">
      <c r="A53" s="311"/>
      <c r="B53" s="311"/>
      <c r="C53" s="311"/>
      <c r="D53" s="311"/>
      <c r="E53" s="311"/>
      <c r="F53" s="311"/>
      <c r="G53" s="311"/>
      <c r="H53" s="311"/>
      <c r="I53" s="311"/>
      <c r="J53" s="311"/>
      <c r="K53" s="311"/>
      <c r="L53" s="311"/>
      <c r="M53" s="311"/>
      <c r="N53" s="311"/>
      <c r="O53" s="311"/>
      <c r="P53" s="311"/>
      <c r="Q53" s="311"/>
      <c r="S53" s="99" t="s">
        <v>36</v>
      </c>
      <c r="T53" s="100">
        <v>173.24462884899583</v>
      </c>
      <c r="U53" s="98">
        <v>567.58896979576514</v>
      </c>
      <c r="W53" s="99" t="s">
        <v>36</v>
      </c>
      <c r="X53" s="100">
        <f t="shared" si="4"/>
        <v>212.22467034001991</v>
      </c>
      <c r="Y53" s="98">
        <f t="shared" si="5"/>
        <v>709.48621224470639</v>
      </c>
      <c r="Z53" s="311"/>
      <c r="AA53" s="99">
        <v>105</v>
      </c>
      <c r="AB53" s="100">
        <f>'VOC eksploatacja samochody'!AB95</f>
        <v>1.2250000000000001</v>
      </c>
      <c r="AC53" s="98">
        <f>'VOC eksploatacja samochody'!AC95</f>
        <v>1.25</v>
      </c>
      <c r="AD53" s="311"/>
      <c r="AE53" s="311"/>
      <c r="AF53" s="311"/>
      <c r="AG53" s="311"/>
      <c r="AH53" s="311"/>
    </row>
    <row r="54" spans="1:34">
      <c r="A54" s="311"/>
      <c r="B54" s="311"/>
      <c r="C54" s="311"/>
      <c r="D54" s="311"/>
      <c r="E54" s="311"/>
      <c r="F54" s="311"/>
      <c r="G54" s="311"/>
      <c r="H54" s="311"/>
      <c r="I54" s="311"/>
      <c r="J54" s="311"/>
      <c r="K54" s="311"/>
      <c r="L54" s="311"/>
      <c r="M54" s="311"/>
      <c r="N54" s="311"/>
      <c r="O54" s="311"/>
      <c r="P54" s="311"/>
      <c r="Q54" s="311"/>
      <c r="S54" s="99" t="s">
        <v>37</v>
      </c>
      <c r="T54" s="100">
        <v>185.71152476082827</v>
      </c>
      <c r="U54" s="98">
        <v>642.08611006780325</v>
      </c>
      <c r="W54" s="99" t="s">
        <v>37</v>
      </c>
      <c r="X54" s="100">
        <f t="shared" si="4"/>
        <v>227.49661783201464</v>
      </c>
      <c r="Y54" s="98">
        <f t="shared" si="5"/>
        <v>802.607637584754</v>
      </c>
      <c r="Z54" s="311"/>
      <c r="AA54" s="99">
        <v>115</v>
      </c>
      <c r="AB54" s="100">
        <f>'VOC eksploatacja samochody'!AB96</f>
        <v>1.2250000000000001</v>
      </c>
      <c r="AC54" s="98">
        <f>'VOC eksploatacja samochody'!AC96</f>
        <v>1.25</v>
      </c>
      <c r="AD54" s="311"/>
      <c r="AE54" s="311"/>
      <c r="AF54" s="311"/>
      <c r="AG54" s="311"/>
      <c r="AH54" s="311"/>
    </row>
    <row r="55" spans="1:34">
      <c r="A55" s="311"/>
      <c r="B55" s="311"/>
      <c r="C55" s="311"/>
      <c r="D55" s="311"/>
      <c r="E55" s="311"/>
      <c r="F55" s="311"/>
      <c r="G55" s="311"/>
      <c r="H55" s="311"/>
      <c r="I55" s="311"/>
      <c r="J55" s="311"/>
      <c r="K55" s="311"/>
      <c r="L55" s="311"/>
      <c r="M55" s="311"/>
      <c r="N55" s="311"/>
      <c r="O55" s="311"/>
      <c r="P55" s="311"/>
      <c r="Q55" s="311"/>
      <c r="S55" s="23" t="s">
        <v>38</v>
      </c>
      <c r="T55" s="96">
        <v>202.3439353482982</v>
      </c>
      <c r="U55" s="98">
        <v>716.58325033984124</v>
      </c>
      <c r="W55" s="23" t="s">
        <v>38</v>
      </c>
      <c r="X55" s="96">
        <f t="shared" si="4"/>
        <v>247.87132080166532</v>
      </c>
      <c r="Y55" s="98">
        <f t="shared" si="5"/>
        <v>895.72906292480161</v>
      </c>
      <c r="Z55" s="311"/>
      <c r="AA55" s="23">
        <v>125</v>
      </c>
      <c r="AB55" s="100">
        <f>'VOC eksploatacja samochody'!AB97</f>
        <v>1.2250000000000001</v>
      </c>
      <c r="AC55" s="98">
        <f>'VOC eksploatacja samochody'!AC97</f>
        <v>1.25</v>
      </c>
      <c r="AD55" s="311"/>
      <c r="AE55" s="311"/>
      <c r="AF55" s="311"/>
      <c r="AG55" s="311"/>
      <c r="AH55" s="311"/>
    </row>
    <row r="56" spans="1:34" ht="15.75" thickBot="1">
      <c r="A56" s="311"/>
      <c r="B56" s="311"/>
      <c r="C56" s="311"/>
      <c r="D56" s="311"/>
      <c r="E56" s="311"/>
      <c r="F56" s="311"/>
      <c r="G56" s="311"/>
      <c r="H56" s="311"/>
      <c r="I56" s="311"/>
      <c r="J56" s="311"/>
      <c r="K56" s="311"/>
      <c r="L56" s="311"/>
      <c r="M56" s="311"/>
      <c r="N56" s="311"/>
      <c r="O56" s="311"/>
      <c r="P56" s="311"/>
      <c r="Q56" s="311"/>
      <c r="S56" s="24" t="s">
        <v>15</v>
      </c>
      <c r="T56" s="221">
        <v>222.86780020095051</v>
      </c>
      <c r="U56" s="123">
        <v>791.08039061187924</v>
      </c>
      <c r="W56" s="24" t="s">
        <v>15</v>
      </c>
      <c r="X56" s="221">
        <f t="shared" si="4"/>
        <v>273.01305524616441</v>
      </c>
      <c r="Y56" s="123">
        <f t="shared" si="5"/>
        <v>988.85048826484899</v>
      </c>
      <c r="Z56" s="311"/>
      <c r="AA56" s="24">
        <v>135</v>
      </c>
      <c r="AB56" s="127">
        <f>'VOC eksploatacja samochody'!AB98</f>
        <v>1.2250000000000001</v>
      </c>
      <c r="AC56" s="123">
        <f>'VOC eksploatacja samochody'!AC98</f>
        <v>1.25</v>
      </c>
      <c r="AD56" s="311"/>
      <c r="AE56" s="311"/>
      <c r="AF56" s="311"/>
      <c r="AG56" s="311"/>
      <c r="AH56" s="311"/>
    </row>
    <row r="57" spans="1:34">
      <c r="A57" s="311"/>
      <c r="B57" s="311"/>
      <c r="C57" s="311"/>
      <c r="D57" s="311"/>
      <c r="E57" s="311"/>
      <c r="F57" s="311"/>
      <c r="G57" s="311"/>
      <c r="H57" s="311"/>
      <c r="I57" s="311"/>
      <c r="J57" s="311"/>
      <c r="K57" s="311"/>
      <c r="L57" s="311"/>
      <c r="M57" s="311"/>
      <c r="N57" s="311"/>
      <c r="O57" s="311"/>
      <c r="P57" s="311"/>
      <c r="Q57" s="311"/>
      <c r="S57" s="35" t="s">
        <v>409</v>
      </c>
      <c r="T57" s="311"/>
      <c r="U57" s="311"/>
      <c r="W57" s="311"/>
      <c r="X57" s="311"/>
      <c r="Y57" s="311"/>
      <c r="Z57" s="311"/>
      <c r="AA57" s="191" t="str">
        <f>'VOC eksploatacja samochody'!$AA$99</f>
        <v>Źródło: Obliczenia własne na podstawie "Optimisation of Maintenance", OECD/ITF 2012, str. 12</v>
      </c>
      <c r="AB57" s="311"/>
      <c r="AC57" s="311"/>
      <c r="AD57" s="311"/>
      <c r="AE57" s="311"/>
      <c r="AF57" s="311"/>
      <c r="AG57" s="311"/>
      <c r="AH57" s="311"/>
    </row>
    <row r="58" spans="1:34">
      <c r="A58" s="311"/>
      <c r="B58" s="311"/>
      <c r="C58" s="311"/>
      <c r="D58" s="311"/>
      <c r="E58" s="311"/>
      <c r="F58" s="311"/>
      <c r="G58" s="311"/>
      <c r="H58" s="311"/>
      <c r="I58" s="311"/>
      <c r="J58" s="311"/>
      <c r="K58" s="311"/>
      <c r="L58" s="311"/>
      <c r="M58" s="311"/>
      <c r="N58" s="311"/>
      <c r="O58" s="311"/>
      <c r="P58" s="311"/>
      <c r="Q58" s="311"/>
      <c r="R58" s="311"/>
      <c r="S58" s="35" t="s">
        <v>410</v>
      </c>
      <c r="T58" s="311"/>
      <c r="U58" s="311"/>
      <c r="V58" s="311"/>
      <c r="W58" s="311"/>
      <c r="X58" s="311"/>
      <c r="Y58" s="311"/>
      <c r="Z58" s="311"/>
      <c r="AA58" s="311"/>
      <c r="AB58" s="311"/>
      <c r="AC58" s="311"/>
      <c r="AD58" s="311"/>
      <c r="AE58" s="311"/>
      <c r="AF58" s="311"/>
      <c r="AG58" s="311"/>
      <c r="AH58" s="311"/>
    </row>
    <row r="59" spans="1:34">
      <c r="A59" s="311"/>
      <c r="B59" s="311"/>
      <c r="C59" s="311"/>
      <c r="D59" s="311"/>
      <c r="E59" s="311"/>
      <c r="F59" s="311"/>
      <c r="G59" s="311"/>
      <c r="H59" s="311"/>
      <c r="I59" s="311"/>
      <c r="J59" s="311"/>
      <c r="K59" s="311"/>
      <c r="L59" s="311"/>
      <c r="M59" s="311"/>
      <c r="N59" s="311"/>
      <c r="O59" s="311"/>
      <c r="P59" s="311"/>
      <c r="Q59" s="311"/>
      <c r="R59" s="311"/>
      <c r="S59" s="35" t="s">
        <v>411</v>
      </c>
      <c r="T59" s="311"/>
      <c r="U59" s="311"/>
      <c r="V59" s="311"/>
      <c r="W59" s="311"/>
      <c r="X59" s="311"/>
      <c r="Y59" s="311"/>
      <c r="Z59" s="311"/>
      <c r="AA59" s="311"/>
      <c r="AB59" s="311"/>
      <c r="AC59" s="311"/>
      <c r="AD59" s="311"/>
      <c r="AE59" s="311"/>
      <c r="AF59" s="311"/>
      <c r="AG59" s="311"/>
      <c r="AH59" s="311"/>
    </row>
    <row r="60" spans="1:34"/>
    <row r="61" spans="1:34" ht="18" customHeight="1">
      <c r="A61" s="645" t="s">
        <v>412</v>
      </c>
      <c r="B61" s="645"/>
      <c r="C61" s="645"/>
      <c r="D61" s="645"/>
      <c r="E61" s="645"/>
      <c r="F61" s="645"/>
      <c r="G61" s="645"/>
      <c r="H61" s="645"/>
      <c r="I61" s="645"/>
      <c r="J61" s="645"/>
      <c r="K61" s="645"/>
      <c r="L61" s="645"/>
      <c r="M61" s="645"/>
      <c r="N61" s="645"/>
      <c r="O61" s="645"/>
      <c r="P61" s="645"/>
      <c r="Q61" s="645"/>
      <c r="R61" s="645"/>
      <c r="S61" s="645"/>
      <c r="T61" s="645"/>
      <c r="U61" s="645"/>
      <c r="V61" s="645"/>
    </row>
    <row r="62" spans="1:34" s="454" customFormat="1">
      <c r="A62" s="645"/>
      <c r="B62" s="645"/>
      <c r="C62" s="645"/>
      <c r="D62" s="645"/>
      <c r="E62" s="645"/>
      <c r="F62" s="645"/>
      <c r="G62" s="645"/>
      <c r="H62" s="645"/>
      <c r="I62" s="645"/>
      <c r="J62" s="645"/>
      <c r="K62" s="645"/>
      <c r="L62" s="645"/>
      <c r="M62" s="645"/>
      <c r="N62" s="645"/>
      <c r="O62" s="645"/>
      <c r="P62" s="645"/>
      <c r="Q62" s="645"/>
      <c r="R62" s="645"/>
      <c r="S62" s="645"/>
      <c r="T62" s="645"/>
      <c r="U62" s="645"/>
      <c r="V62" s="645"/>
    </row>
    <row r="63" spans="1:34" ht="18" customHeight="1">
      <c r="A63" s="645" t="s">
        <v>413</v>
      </c>
      <c r="B63" s="645"/>
      <c r="C63" s="645"/>
      <c r="D63" s="645"/>
      <c r="E63" s="645"/>
      <c r="F63" s="645"/>
      <c r="G63" s="645"/>
      <c r="H63" s="645"/>
      <c r="I63" s="645"/>
      <c r="J63" s="645"/>
      <c r="K63" s="645"/>
      <c r="L63" s="645"/>
      <c r="M63" s="645"/>
      <c r="N63" s="645"/>
      <c r="O63" s="645"/>
      <c r="P63" s="645"/>
      <c r="Q63" s="645"/>
      <c r="R63" s="645"/>
      <c r="S63" s="645"/>
      <c r="T63" s="645"/>
      <c r="U63" s="645"/>
      <c r="V63" s="645"/>
    </row>
    <row r="64" spans="1:34" s="454" customFormat="1">
      <c r="A64" s="645"/>
      <c r="B64" s="645"/>
      <c r="C64" s="645"/>
      <c r="D64" s="645"/>
      <c r="E64" s="645"/>
      <c r="F64" s="645"/>
      <c r="G64" s="645"/>
      <c r="H64" s="645"/>
      <c r="I64" s="645"/>
      <c r="J64" s="645"/>
      <c r="K64" s="645"/>
      <c r="L64" s="645"/>
      <c r="M64" s="645"/>
      <c r="N64" s="645"/>
      <c r="O64" s="645"/>
      <c r="P64" s="645"/>
      <c r="Q64" s="645"/>
      <c r="R64" s="645"/>
      <c r="S64" s="645"/>
      <c r="T64" s="645"/>
      <c r="U64" s="645"/>
      <c r="V64" s="645"/>
    </row>
    <row r="65" spans="1:61" ht="18">
      <c r="A65" s="311" t="s">
        <v>414</v>
      </c>
      <c r="B65" s="311"/>
      <c r="C65" s="311"/>
      <c r="D65" s="311"/>
      <c r="E65" s="311"/>
      <c r="F65" s="311"/>
      <c r="G65" s="311"/>
      <c r="H65" s="311"/>
      <c r="I65" s="311"/>
      <c r="J65" s="311"/>
      <c r="K65" s="311"/>
      <c r="L65" s="311"/>
      <c r="M65" s="311"/>
      <c r="N65" s="311"/>
      <c r="O65" s="311"/>
      <c r="P65" s="311"/>
      <c r="Q65" s="311"/>
      <c r="R65" s="311"/>
      <c r="S65" s="311"/>
      <c r="T65" s="311"/>
      <c r="U65" s="311"/>
    </row>
    <row r="66" spans="1:61">
      <c r="A66" s="311"/>
      <c r="B66" s="311"/>
      <c r="C66" s="311"/>
      <c r="D66" s="311"/>
      <c r="E66" s="311"/>
      <c r="F66" s="311"/>
      <c r="G66" s="311"/>
      <c r="H66" s="311"/>
      <c r="I66" s="311"/>
      <c r="J66" s="311"/>
      <c r="K66" s="311"/>
      <c r="L66" s="311"/>
      <c r="M66" s="311"/>
      <c r="N66" s="311"/>
      <c r="O66" s="311"/>
      <c r="P66" s="311"/>
      <c r="Q66" s="311"/>
      <c r="R66" s="311"/>
      <c r="S66" s="311"/>
      <c r="T66" s="311"/>
      <c r="U66" s="311"/>
    </row>
    <row r="67" spans="1:61">
      <c r="A67" s="645" t="str">
        <f>'VOC eksploatacja samochody'!$A$198</f>
        <v xml:space="preserve">Dodatkowo, dla dróg w terenie falistym (tzn. jeśli nachylenie podłużne drogi wynosi pomiędzy 2% i 6%), należy przemnożyć wartości dla terenu płaskiego przez poniższe współczynniki. </v>
      </c>
      <c r="B67" s="645"/>
      <c r="C67" s="645"/>
      <c r="D67" s="645"/>
      <c r="E67" s="645"/>
      <c r="F67" s="645"/>
      <c r="G67" s="645"/>
      <c r="H67" s="645"/>
      <c r="I67" s="645"/>
      <c r="J67" s="645"/>
      <c r="K67" s="645"/>
      <c r="L67" s="645"/>
      <c r="M67" s="645"/>
      <c r="N67" s="645"/>
      <c r="O67" s="645"/>
      <c r="P67" s="645"/>
      <c r="Q67" s="645"/>
      <c r="R67" s="645"/>
      <c r="S67" s="645"/>
      <c r="T67" s="645"/>
      <c r="U67" s="645"/>
      <c r="V67" s="645"/>
    </row>
    <row r="68" spans="1:61" s="454" customFormat="1">
      <c r="A68" s="645"/>
      <c r="B68" s="645"/>
      <c r="C68" s="645"/>
      <c r="D68" s="645"/>
      <c r="E68" s="645"/>
      <c r="F68" s="645"/>
      <c r="G68" s="645"/>
      <c r="H68" s="645"/>
      <c r="I68" s="645"/>
      <c r="J68" s="645"/>
      <c r="K68" s="645"/>
      <c r="L68" s="645"/>
      <c r="M68" s="645"/>
      <c r="N68" s="645"/>
      <c r="O68" s="645"/>
      <c r="P68" s="645"/>
      <c r="Q68" s="645"/>
      <c r="R68" s="645"/>
      <c r="S68" s="645"/>
      <c r="T68" s="645"/>
      <c r="U68" s="645"/>
      <c r="V68" s="645"/>
    </row>
    <row r="69" spans="1:61">
      <c r="A69" s="645" t="str">
        <f>'VOC eksploatacja samochody'!$A$200</f>
        <v xml:space="preserve">Pominięto współczynniki dla dróg w terenie górskim, tj. o nachyleniu podłużnym powyżej 6%, ponieważ nie mają one istotnego znaczenia dla oceny przez CUPT projektów transportowych realizowanych w Polsce. </v>
      </c>
      <c r="B69" s="645"/>
      <c r="C69" s="645"/>
      <c r="D69" s="645"/>
      <c r="E69" s="645"/>
      <c r="F69" s="645"/>
      <c r="G69" s="645"/>
      <c r="H69" s="645"/>
      <c r="I69" s="645"/>
      <c r="J69" s="645"/>
      <c r="K69" s="645"/>
      <c r="L69" s="645"/>
      <c r="M69" s="645"/>
      <c r="N69" s="645"/>
      <c r="O69" s="645"/>
      <c r="P69" s="645"/>
      <c r="Q69" s="645"/>
      <c r="R69" s="645"/>
      <c r="S69" s="645"/>
      <c r="T69" s="645"/>
      <c r="U69" s="645"/>
      <c r="V69" s="645"/>
    </row>
    <row r="70" spans="1:61" s="454" customFormat="1">
      <c r="A70" s="645"/>
      <c r="B70" s="645"/>
      <c r="C70" s="645"/>
      <c r="D70" s="645"/>
      <c r="E70" s="645"/>
      <c r="F70" s="645"/>
      <c r="G70" s="645"/>
      <c r="H70" s="645"/>
      <c r="I70" s="645"/>
      <c r="J70" s="645"/>
      <c r="K70" s="645"/>
      <c r="L70" s="645"/>
      <c r="M70" s="645"/>
      <c r="N70" s="645"/>
      <c r="O70" s="645"/>
      <c r="P70" s="645"/>
      <c r="Q70" s="645"/>
      <c r="R70" s="645"/>
      <c r="S70" s="645"/>
      <c r="T70" s="645"/>
      <c r="U70" s="645"/>
      <c r="V70" s="645"/>
    </row>
    <row r="71" spans="1:61" s="412" customFormat="1" ht="15.75" thickBot="1">
      <c r="A71" s="412" t="s">
        <v>225</v>
      </c>
    </row>
    <row r="72" spans="1:61">
      <c r="A72" s="311"/>
      <c r="B72" s="311"/>
      <c r="C72" s="311"/>
      <c r="D72" s="311"/>
      <c r="E72" s="311"/>
      <c r="F72" s="311"/>
      <c r="G72" s="311"/>
      <c r="H72" s="311"/>
      <c r="I72" s="311"/>
      <c r="J72" s="311"/>
      <c r="K72" s="311"/>
      <c r="L72" s="311"/>
      <c r="M72" s="311"/>
      <c r="N72" s="311"/>
      <c r="O72" s="311"/>
      <c r="P72" s="311"/>
      <c r="Q72" s="311"/>
      <c r="R72" s="311"/>
      <c r="S72" s="124" t="s">
        <v>44</v>
      </c>
      <c r="T72" s="126"/>
      <c r="U72" s="125"/>
    </row>
    <row r="73" spans="1:61" ht="15.75" thickBot="1">
      <c r="A73" s="311"/>
      <c r="B73" s="311"/>
      <c r="C73" s="311"/>
      <c r="D73" s="311"/>
      <c r="E73" s="311"/>
      <c r="F73" s="311"/>
      <c r="G73" s="311"/>
      <c r="H73" s="311"/>
      <c r="I73" s="311"/>
      <c r="J73" s="311"/>
      <c r="K73" s="311"/>
      <c r="L73" s="311"/>
      <c r="M73" s="311"/>
      <c r="N73" s="311"/>
      <c r="O73" s="311"/>
      <c r="P73" s="311"/>
      <c r="Q73" s="311"/>
      <c r="R73" s="311"/>
      <c r="S73" s="32" t="s">
        <v>43</v>
      </c>
      <c r="T73" s="33" t="s">
        <v>10</v>
      </c>
      <c r="U73" s="34" t="s">
        <v>6</v>
      </c>
    </row>
    <row r="74" spans="1:61">
      <c r="A74" s="311"/>
      <c r="B74" s="311"/>
      <c r="C74" s="311"/>
      <c r="D74" s="311"/>
      <c r="E74" s="311"/>
      <c r="F74" s="311"/>
      <c r="G74" s="311"/>
      <c r="H74" s="311"/>
      <c r="I74" s="311"/>
      <c r="J74" s="311"/>
      <c r="K74" s="311"/>
      <c r="L74" s="311"/>
      <c r="M74" s="311"/>
      <c r="N74" s="311"/>
      <c r="O74" s="311"/>
      <c r="P74" s="311"/>
      <c r="Q74" s="311"/>
      <c r="R74" s="311"/>
      <c r="S74" s="26" t="s">
        <v>13</v>
      </c>
      <c r="T74" s="30">
        <v>1</v>
      </c>
      <c r="U74" s="31">
        <v>1</v>
      </c>
    </row>
    <row r="75" spans="1:61" ht="15.75" thickBot="1">
      <c r="A75" s="311"/>
      <c r="B75" s="311"/>
      <c r="C75" s="311"/>
      <c r="D75" s="311"/>
      <c r="E75" s="311"/>
      <c r="F75" s="311"/>
      <c r="G75" s="311"/>
      <c r="H75" s="311"/>
      <c r="I75" s="311"/>
      <c r="J75" s="311"/>
      <c r="K75" s="311"/>
      <c r="L75" s="311"/>
      <c r="M75" s="311"/>
      <c r="N75" s="311"/>
      <c r="O75" s="311"/>
      <c r="P75" s="311"/>
      <c r="Q75" s="311"/>
      <c r="R75" s="311"/>
      <c r="S75" s="27" t="s">
        <v>12</v>
      </c>
      <c r="T75" s="28">
        <v>1.1499999999999999</v>
      </c>
      <c r="U75" s="29">
        <v>1.6966788184975283</v>
      </c>
    </row>
    <row r="76" spans="1:61">
      <c r="A76" s="311"/>
      <c r="B76" s="311"/>
      <c r="C76" s="311"/>
      <c r="D76" s="311"/>
      <c r="E76" s="311"/>
      <c r="F76" s="311"/>
      <c r="G76" s="311"/>
      <c r="H76" s="311"/>
      <c r="I76" s="311"/>
      <c r="J76" s="311"/>
      <c r="K76" s="311"/>
      <c r="L76" s="311"/>
      <c r="M76" s="311"/>
      <c r="N76" s="311"/>
      <c r="O76" s="311"/>
      <c r="P76" s="311"/>
      <c r="Q76" s="311"/>
      <c r="R76" s="311"/>
      <c r="S76" s="35" t="s">
        <v>89</v>
      </c>
      <c r="T76" s="178"/>
      <c r="U76" s="178"/>
    </row>
    <row r="77" spans="1:61" ht="15" customHeight="1">
      <c r="S77" s="648" t="s">
        <v>415</v>
      </c>
      <c r="T77" s="648"/>
      <c r="U77" s="648"/>
      <c r="V77" s="648"/>
      <c r="W77" s="648"/>
      <c r="X77" s="648"/>
      <c r="Y77" s="648"/>
      <c r="Z77" s="648"/>
      <c r="AA77" s="514"/>
      <c r="AB77" s="514"/>
    </row>
    <row r="78" spans="1:61" s="454" customFormat="1">
      <c r="S78" s="648"/>
      <c r="T78" s="648"/>
      <c r="U78" s="648"/>
      <c r="V78" s="648"/>
      <c r="W78" s="648"/>
      <c r="X78" s="648"/>
      <c r="Y78" s="648"/>
      <c r="Z78" s="648"/>
      <c r="AA78" s="514"/>
      <c r="AB78" s="514"/>
    </row>
    <row r="79" spans="1:61"/>
    <row r="80" spans="1:61" ht="18" hidden="1" outlineLevel="1">
      <c r="A80" s="1" t="s">
        <v>416</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row>
    <row r="81" spans="1:61" hidden="1" outlineLevel="1">
      <c r="A81" s="311"/>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row>
    <row r="82" spans="1:61" ht="18" hidden="1" outlineLevel="1">
      <c r="A82" s="311" t="s">
        <v>47</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311"/>
      <c r="BA82" s="311"/>
      <c r="BB82" s="311"/>
      <c r="BC82" s="311"/>
      <c r="BD82" s="311"/>
      <c r="BE82" s="311"/>
      <c r="BF82" s="311"/>
      <c r="BG82" s="311"/>
      <c r="BH82" s="311"/>
      <c r="BI82" s="311"/>
    </row>
    <row r="83" spans="1:61" hidden="1" outlineLevel="1">
      <c r="A83" s="9"/>
      <c r="B83" s="9"/>
      <c r="C83" s="9"/>
      <c r="D83" s="9"/>
      <c r="E83" s="9"/>
      <c r="F83" s="9"/>
      <c r="G83" s="9"/>
      <c r="H83" s="9"/>
      <c r="I83" s="9"/>
      <c r="J83" s="9"/>
      <c r="K83" s="9"/>
      <c r="L83" s="9"/>
      <c r="M83" s="9"/>
      <c r="N83" s="9"/>
      <c r="O83" s="9"/>
      <c r="P83" s="6">
        <v>2020</v>
      </c>
      <c r="Q83" s="6">
        <v>2025</v>
      </c>
      <c r="R83" s="6">
        <v>2030</v>
      </c>
      <c r="S83" s="6">
        <v>2035</v>
      </c>
      <c r="T83" s="6">
        <v>2040</v>
      </c>
      <c r="U83" s="6">
        <v>2045</v>
      </c>
      <c r="V83" s="6">
        <v>2050</v>
      </c>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row>
    <row r="84" spans="1:61" ht="18" hidden="1" outlineLevel="1">
      <c r="A84" s="8" t="s">
        <v>63</v>
      </c>
      <c r="B84" s="90"/>
      <c r="C84" s="90"/>
      <c r="D84" s="90"/>
      <c r="E84" s="90"/>
      <c r="F84" s="90"/>
      <c r="G84" s="90"/>
      <c r="H84" s="90"/>
      <c r="I84" s="90"/>
      <c r="J84" s="90"/>
      <c r="K84" s="90"/>
      <c r="L84" s="90"/>
      <c r="M84" s="90"/>
      <c r="N84" s="90"/>
      <c r="O84" s="90"/>
      <c r="P84" s="7">
        <v>80</v>
      </c>
      <c r="Q84" s="7">
        <v>165</v>
      </c>
      <c r="R84" s="7">
        <v>250</v>
      </c>
      <c r="S84" s="7">
        <v>390</v>
      </c>
      <c r="T84" s="7">
        <v>525</v>
      </c>
      <c r="U84" s="7">
        <v>660</v>
      </c>
      <c r="V84" s="7">
        <v>800</v>
      </c>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311"/>
      <c r="BA84" s="311"/>
      <c r="BB84" s="311"/>
      <c r="BC84" s="311"/>
      <c r="BD84" s="311"/>
      <c r="BE84" s="311"/>
      <c r="BF84" s="311"/>
      <c r="BG84" s="311"/>
      <c r="BH84" s="311"/>
      <c r="BI84" s="311"/>
    </row>
    <row r="85" spans="1:61" ht="18" hidden="1" outlineLevel="1">
      <c r="A85" s="35" t="s">
        <v>417</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c r="AP85" s="311"/>
      <c r="AQ85" s="311"/>
      <c r="AR85" s="311"/>
      <c r="AS85" s="311"/>
      <c r="AT85" s="311"/>
      <c r="AU85" s="311"/>
      <c r="AV85" s="311"/>
      <c r="AW85" s="311"/>
      <c r="AX85" s="311"/>
      <c r="AY85" s="311"/>
      <c r="AZ85" s="311"/>
      <c r="BA85" s="311"/>
      <c r="BB85" s="311"/>
      <c r="BC85" s="311"/>
      <c r="BD85" s="311"/>
      <c r="BE85" s="311"/>
      <c r="BF85" s="311"/>
      <c r="BG85" s="311"/>
      <c r="BH85" s="311"/>
      <c r="BI85" s="311"/>
    </row>
    <row r="86" spans="1:61" hidden="1" outlineLevel="1">
      <c r="A86" s="311"/>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c r="BE86" s="311"/>
      <c r="BF86" s="311"/>
      <c r="BG86" s="311"/>
      <c r="BH86" s="311"/>
      <c r="BI86" s="311"/>
    </row>
    <row r="87" spans="1:61" hidden="1" outlineLevel="1">
      <c r="A87" s="9" t="s">
        <v>2</v>
      </c>
      <c r="B87" s="6"/>
      <c r="C87" s="6"/>
      <c r="D87" s="6"/>
      <c r="E87" s="6"/>
      <c r="F87" s="6"/>
      <c r="G87" s="6"/>
      <c r="H87" s="6"/>
      <c r="I87" s="6"/>
      <c r="J87" s="6"/>
      <c r="K87" s="6"/>
      <c r="L87" s="6"/>
      <c r="M87" s="6"/>
      <c r="N87" s="6"/>
      <c r="O87" s="6"/>
      <c r="P87" s="6"/>
      <c r="Q87" s="6">
        <v>2016</v>
      </c>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1"/>
      <c r="BF87" s="311"/>
      <c r="BG87" s="311"/>
      <c r="BH87" s="311"/>
      <c r="BI87" s="311"/>
    </row>
    <row r="88" spans="1:61" hidden="1" outlineLevel="1">
      <c r="A88" s="8" t="s">
        <v>3</v>
      </c>
      <c r="B88" s="12"/>
      <c r="C88" s="12"/>
      <c r="D88" s="12"/>
      <c r="E88" s="12"/>
      <c r="F88" s="12"/>
      <c r="G88" s="12"/>
      <c r="H88" s="12"/>
      <c r="I88" s="12"/>
      <c r="J88" s="12"/>
      <c r="K88" s="12"/>
      <c r="L88" s="12"/>
      <c r="M88" s="12"/>
      <c r="N88" s="12"/>
      <c r="O88" s="12"/>
      <c r="P88" s="12"/>
      <c r="Q88" s="11">
        <f>Indeksacja!$Q$41</f>
        <v>4.3632</v>
      </c>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1"/>
      <c r="BI88" s="311"/>
    </row>
    <row r="89" spans="1:61" hidden="1" outlineLevel="1">
      <c r="A89" s="35" t="str">
        <f>Indeksacja!$A$42</f>
        <v>Źródło: ECB, http://sdw.ecb.europa.eu/quickview.do?SERIES_KEY=120.EXR.A.PLN.EUR.SP00.A</v>
      </c>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row>
    <row r="90" spans="1:61" hidden="1" outlineLevel="1">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1"/>
      <c r="BF90" s="311"/>
      <c r="BG90" s="311"/>
      <c r="BH90" s="311"/>
      <c r="BI90" s="311"/>
    </row>
    <row r="91" spans="1:61" hidden="1" outlineLevel="1">
      <c r="A91" s="9" t="s">
        <v>205</v>
      </c>
      <c r="B91" s="6"/>
      <c r="C91" s="6"/>
      <c r="D91" s="6"/>
      <c r="E91" s="6"/>
      <c r="F91" s="6"/>
      <c r="G91" s="6"/>
      <c r="H91" s="6"/>
      <c r="I91" s="6"/>
      <c r="J91" s="6"/>
      <c r="K91" s="6"/>
      <c r="L91" s="6"/>
      <c r="M91" s="6"/>
      <c r="N91" s="6"/>
      <c r="O91" s="6"/>
      <c r="P91" s="6"/>
      <c r="Q91" s="6">
        <v>2016</v>
      </c>
      <c r="R91" s="6">
        <f>Q91+1</f>
        <v>2017</v>
      </c>
      <c r="S91" s="6">
        <f t="shared" ref="S91:BI91" si="6">R91+1</f>
        <v>2018</v>
      </c>
      <c r="T91" s="6">
        <f t="shared" si="6"/>
        <v>2019</v>
      </c>
      <c r="U91" s="6">
        <f t="shared" si="6"/>
        <v>2020</v>
      </c>
      <c r="V91" s="6">
        <f t="shared" si="6"/>
        <v>2021</v>
      </c>
      <c r="W91" s="6">
        <f t="shared" si="6"/>
        <v>2022</v>
      </c>
      <c r="X91" s="6">
        <f t="shared" si="6"/>
        <v>2023</v>
      </c>
      <c r="Y91" s="6">
        <f t="shared" si="6"/>
        <v>2024</v>
      </c>
      <c r="Z91" s="6">
        <f t="shared" si="6"/>
        <v>2025</v>
      </c>
      <c r="AA91" s="6">
        <f t="shared" si="6"/>
        <v>2026</v>
      </c>
      <c r="AB91" s="6">
        <f t="shared" si="6"/>
        <v>2027</v>
      </c>
      <c r="AC91" s="6">
        <f t="shared" si="6"/>
        <v>2028</v>
      </c>
      <c r="AD91" s="6">
        <f t="shared" si="6"/>
        <v>2029</v>
      </c>
      <c r="AE91" s="6">
        <f t="shared" si="6"/>
        <v>2030</v>
      </c>
      <c r="AF91" s="6">
        <f t="shared" si="6"/>
        <v>2031</v>
      </c>
      <c r="AG91" s="6">
        <f t="shared" si="6"/>
        <v>2032</v>
      </c>
      <c r="AH91" s="6">
        <f t="shared" si="6"/>
        <v>2033</v>
      </c>
      <c r="AI91" s="6">
        <f t="shared" si="6"/>
        <v>2034</v>
      </c>
      <c r="AJ91" s="6">
        <f t="shared" si="6"/>
        <v>2035</v>
      </c>
      <c r="AK91" s="6">
        <f t="shared" si="6"/>
        <v>2036</v>
      </c>
      <c r="AL91" s="6">
        <f t="shared" si="6"/>
        <v>2037</v>
      </c>
      <c r="AM91" s="6">
        <f t="shared" si="6"/>
        <v>2038</v>
      </c>
      <c r="AN91" s="6">
        <f t="shared" si="6"/>
        <v>2039</v>
      </c>
      <c r="AO91" s="6">
        <f t="shared" si="6"/>
        <v>2040</v>
      </c>
      <c r="AP91" s="6">
        <f t="shared" si="6"/>
        <v>2041</v>
      </c>
      <c r="AQ91" s="6">
        <f t="shared" si="6"/>
        <v>2042</v>
      </c>
      <c r="AR91" s="6">
        <f t="shared" si="6"/>
        <v>2043</v>
      </c>
      <c r="AS91" s="6">
        <f t="shared" si="6"/>
        <v>2044</v>
      </c>
      <c r="AT91" s="6">
        <f t="shared" si="6"/>
        <v>2045</v>
      </c>
      <c r="AU91" s="6">
        <f t="shared" si="6"/>
        <v>2046</v>
      </c>
      <c r="AV91" s="6">
        <f t="shared" si="6"/>
        <v>2047</v>
      </c>
      <c r="AW91" s="6">
        <f t="shared" si="6"/>
        <v>2048</v>
      </c>
      <c r="AX91" s="6">
        <f t="shared" si="6"/>
        <v>2049</v>
      </c>
      <c r="AY91" s="6">
        <f t="shared" si="6"/>
        <v>2050</v>
      </c>
      <c r="AZ91" s="6">
        <f t="shared" si="6"/>
        <v>2051</v>
      </c>
      <c r="BA91" s="6">
        <f t="shared" si="6"/>
        <v>2052</v>
      </c>
      <c r="BB91" s="6">
        <f t="shared" si="6"/>
        <v>2053</v>
      </c>
      <c r="BC91" s="6">
        <f t="shared" si="6"/>
        <v>2054</v>
      </c>
      <c r="BD91" s="6">
        <f t="shared" si="6"/>
        <v>2055</v>
      </c>
      <c r="BE91" s="6">
        <f t="shared" si="6"/>
        <v>2056</v>
      </c>
      <c r="BF91" s="6">
        <f t="shared" si="6"/>
        <v>2057</v>
      </c>
      <c r="BG91" s="6">
        <f t="shared" si="6"/>
        <v>2058</v>
      </c>
      <c r="BH91" s="6">
        <f t="shared" si="6"/>
        <v>2059</v>
      </c>
      <c r="BI91" s="6">
        <f t="shared" si="6"/>
        <v>2060</v>
      </c>
    </row>
    <row r="92" spans="1:61" ht="30" hidden="1" outlineLevel="1">
      <c r="A92" s="8" t="s">
        <v>5</v>
      </c>
      <c r="B92" s="13"/>
      <c r="C92" s="13"/>
      <c r="D92" s="13"/>
      <c r="E92" s="13"/>
      <c r="F92" s="13"/>
      <c r="G92" s="13"/>
      <c r="H92" s="13"/>
      <c r="I92" s="13"/>
      <c r="J92" s="13"/>
      <c r="K92" s="13"/>
      <c r="L92" s="13"/>
      <c r="M92" s="13"/>
      <c r="N92" s="13"/>
      <c r="O92" s="13"/>
      <c r="P92" s="13"/>
      <c r="Q92" s="13"/>
      <c r="R92" s="10">
        <f>Indeksacja!R$6/100</f>
        <v>1.02</v>
      </c>
      <c r="S92" s="10">
        <f>Indeksacja!S$6/100</f>
        <v>1.016</v>
      </c>
      <c r="T92" s="10">
        <f>Indeksacja!T$6/100</f>
        <v>1.0229999999999999</v>
      </c>
      <c r="U92" s="10">
        <f>Indeksacja!U$6/100</f>
        <v>1.034</v>
      </c>
      <c r="V92" s="10">
        <f>Indeksacja!V$6/100</f>
        <v>1.0509999999999999</v>
      </c>
      <c r="W92" s="19">
        <v>1</v>
      </c>
      <c r="X92" s="19">
        <v>1</v>
      </c>
      <c r="Y92" s="19">
        <v>1</v>
      </c>
      <c r="Z92" s="19">
        <v>1</v>
      </c>
      <c r="AA92" s="19">
        <v>1</v>
      </c>
      <c r="AB92" s="19">
        <v>1</v>
      </c>
      <c r="AC92" s="19">
        <v>1</v>
      </c>
      <c r="AD92" s="19">
        <v>1</v>
      </c>
      <c r="AE92" s="19">
        <v>1</v>
      </c>
      <c r="AF92" s="19">
        <v>1</v>
      </c>
      <c r="AG92" s="19">
        <v>1</v>
      </c>
      <c r="AH92" s="19">
        <v>1</v>
      </c>
      <c r="AI92" s="19">
        <v>1</v>
      </c>
      <c r="AJ92" s="19">
        <v>1</v>
      </c>
      <c r="AK92" s="19">
        <v>1</v>
      </c>
      <c r="AL92" s="19">
        <v>1</v>
      </c>
      <c r="AM92" s="19">
        <v>1</v>
      </c>
      <c r="AN92" s="19">
        <v>1</v>
      </c>
      <c r="AO92" s="19">
        <v>1</v>
      </c>
      <c r="AP92" s="19">
        <v>1</v>
      </c>
      <c r="AQ92" s="19">
        <v>1</v>
      </c>
      <c r="AR92" s="19">
        <v>1</v>
      </c>
      <c r="AS92" s="19">
        <v>1</v>
      </c>
      <c r="AT92" s="19">
        <v>1</v>
      </c>
      <c r="AU92" s="19">
        <v>1</v>
      </c>
      <c r="AV92" s="19">
        <v>1</v>
      </c>
      <c r="AW92" s="19">
        <v>1</v>
      </c>
      <c r="AX92" s="19">
        <v>1</v>
      </c>
      <c r="AY92" s="19">
        <v>1</v>
      </c>
      <c r="AZ92" s="19">
        <v>1</v>
      </c>
      <c r="BA92" s="19">
        <v>1</v>
      </c>
      <c r="BB92" s="19">
        <v>1</v>
      </c>
      <c r="BC92" s="19">
        <v>1</v>
      </c>
      <c r="BD92" s="19">
        <v>1</v>
      </c>
      <c r="BE92" s="19">
        <v>1</v>
      </c>
      <c r="BF92" s="19">
        <v>1</v>
      </c>
      <c r="BG92" s="19">
        <v>1</v>
      </c>
      <c r="BH92" s="19">
        <v>1</v>
      </c>
      <c r="BI92" s="19">
        <v>1</v>
      </c>
    </row>
    <row r="93" spans="1:61" ht="45" hidden="1" outlineLevel="1">
      <c r="A93" s="8" t="s">
        <v>320</v>
      </c>
      <c r="B93" s="13"/>
      <c r="C93" s="13"/>
      <c r="D93" s="13"/>
      <c r="E93" s="13"/>
      <c r="F93" s="13"/>
      <c r="G93" s="13"/>
      <c r="H93" s="13"/>
      <c r="I93" s="13"/>
      <c r="J93" s="13"/>
      <c r="K93" s="13"/>
      <c r="L93" s="13"/>
      <c r="M93" s="13"/>
      <c r="N93" s="13"/>
      <c r="O93" s="13"/>
      <c r="P93" s="13"/>
      <c r="Q93" s="229">
        <v>1</v>
      </c>
      <c r="R93" s="10">
        <f>Q93*R92</f>
        <v>1.02</v>
      </c>
      <c r="S93" s="10">
        <f t="shared" ref="S93:BI93" si="7">R93*S92</f>
        <v>1.0363200000000001</v>
      </c>
      <c r="T93" s="10">
        <f t="shared" si="7"/>
        <v>1.06015536</v>
      </c>
      <c r="U93" s="10">
        <f t="shared" si="7"/>
        <v>1.0962006422399999</v>
      </c>
      <c r="V93" s="10">
        <f t="shared" si="7"/>
        <v>1.1521068749942398</v>
      </c>
      <c r="W93" s="10">
        <f t="shared" si="7"/>
        <v>1.1521068749942398</v>
      </c>
      <c r="X93" s="10">
        <f t="shared" si="7"/>
        <v>1.1521068749942398</v>
      </c>
      <c r="Y93" s="10">
        <f t="shared" si="7"/>
        <v>1.1521068749942398</v>
      </c>
      <c r="Z93" s="10">
        <f t="shared" si="7"/>
        <v>1.1521068749942398</v>
      </c>
      <c r="AA93" s="10">
        <f t="shared" si="7"/>
        <v>1.1521068749942398</v>
      </c>
      <c r="AB93" s="10">
        <f t="shared" si="7"/>
        <v>1.1521068749942398</v>
      </c>
      <c r="AC93" s="10">
        <f t="shared" si="7"/>
        <v>1.1521068749942398</v>
      </c>
      <c r="AD93" s="10">
        <f t="shared" si="7"/>
        <v>1.1521068749942398</v>
      </c>
      <c r="AE93" s="10">
        <f t="shared" si="7"/>
        <v>1.1521068749942398</v>
      </c>
      <c r="AF93" s="10">
        <f t="shared" si="7"/>
        <v>1.1521068749942398</v>
      </c>
      <c r="AG93" s="10">
        <f t="shared" si="7"/>
        <v>1.1521068749942398</v>
      </c>
      <c r="AH93" s="10">
        <f t="shared" si="7"/>
        <v>1.1521068749942398</v>
      </c>
      <c r="AI93" s="10">
        <f t="shared" si="7"/>
        <v>1.1521068749942398</v>
      </c>
      <c r="AJ93" s="10">
        <f t="shared" si="7"/>
        <v>1.1521068749942398</v>
      </c>
      <c r="AK93" s="10">
        <f t="shared" si="7"/>
        <v>1.1521068749942398</v>
      </c>
      <c r="AL93" s="10">
        <f t="shared" si="7"/>
        <v>1.1521068749942398</v>
      </c>
      <c r="AM93" s="10">
        <f t="shared" si="7"/>
        <v>1.1521068749942398</v>
      </c>
      <c r="AN93" s="10">
        <f t="shared" si="7"/>
        <v>1.1521068749942398</v>
      </c>
      <c r="AO93" s="10">
        <f t="shared" si="7"/>
        <v>1.1521068749942398</v>
      </c>
      <c r="AP93" s="10">
        <f t="shared" si="7"/>
        <v>1.1521068749942398</v>
      </c>
      <c r="AQ93" s="10">
        <f t="shared" si="7"/>
        <v>1.1521068749942398</v>
      </c>
      <c r="AR93" s="10">
        <f t="shared" si="7"/>
        <v>1.1521068749942398</v>
      </c>
      <c r="AS93" s="10">
        <f t="shared" si="7"/>
        <v>1.1521068749942398</v>
      </c>
      <c r="AT93" s="10">
        <f t="shared" si="7"/>
        <v>1.1521068749942398</v>
      </c>
      <c r="AU93" s="10">
        <f t="shared" si="7"/>
        <v>1.1521068749942398</v>
      </c>
      <c r="AV93" s="10">
        <f t="shared" si="7"/>
        <v>1.1521068749942398</v>
      </c>
      <c r="AW93" s="10">
        <f t="shared" si="7"/>
        <v>1.1521068749942398</v>
      </c>
      <c r="AX93" s="10">
        <f t="shared" si="7"/>
        <v>1.1521068749942398</v>
      </c>
      <c r="AY93" s="10">
        <f t="shared" si="7"/>
        <v>1.1521068749942398</v>
      </c>
      <c r="AZ93" s="10">
        <f t="shared" si="7"/>
        <v>1.1521068749942398</v>
      </c>
      <c r="BA93" s="10">
        <f t="shared" si="7"/>
        <v>1.1521068749942398</v>
      </c>
      <c r="BB93" s="10">
        <f t="shared" si="7"/>
        <v>1.1521068749942398</v>
      </c>
      <c r="BC93" s="10">
        <f t="shared" si="7"/>
        <v>1.1521068749942398</v>
      </c>
      <c r="BD93" s="10">
        <f t="shared" si="7"/>
        <v>1.1521068749942398</v>
      </c>
      <c r="BE93" s="10">
        <f t="shared" si="7"/>
        <v>1.1521068749942398</v>
      </c>
      <c r="BF93" s="10">
        <f t="shared" si="7"/>
        <v>1.1521068749942398</v>
      </c>
      <c r="BG93" s="10">
        <f t="shared" si="7"/>
        <v>1.1521068749942398</v>
      </c>
      <c r="BH93" s="10">
        <f t="shared" si="7"/>
        <v>1.1521068749942398</v>
      </c>
      <c r="BI93" s="10">
        <f t="shared" si="7"/>
        <v>1.1521068749942398</v>
      </c>
    </row>
    <row r="94" spans="1:61" hidden="1" outlineLevel="1">
      <c r="A94" s="35" t="str">
        <f>Indeksacja!A$7</f>
        <v>Źródło: GUS, https://stat.gov.pl/wskazniki-makroekonomiczne/ - Roczne wskaźniki makroekonomiczne, arkusz "WSKAŹNIKI CEN" (aktualizacja 20.04.2022)</v>
      </c>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row>
    <row r="95" spans="1:61" hidden="1" outlineLevel="1">
      <c r="A95" s="311"/>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c r="AU95" s="311"/>
      <c r="AV95" s="311"/>
      <c r="AW95" s="311"/>
      <c r="AX95" s="311"/>
      <c r="AY95" s="311"/>
      <c r="AZ95" s="311"/>
      <c r="BA95" s="311"/>
      <c r="BB95" s="311"/>
      <c r="BC95" s="311"/>
      <c r="BD95" s="311"/>
      <c r="BE95" s="311"/>
      <c r="BF95" s="311"/>
      <c r="BG95" s="311"/>
      <c r="BH95" s="311"/>
      <c r="BI95" s="311"/>
    </row>
    <row r="96" spans="1:61" ht="18" hidden="1" outlineLevel="1">
      <c r="A96" s="1" t="s">
        <v>418</v>
      </c>
      <c r="B96" s="311"/>
      <c r="C96" s="311"/>
      <c r="D96" s="311"/>
      <c r="E96" s="311"/>
      <c r="F96" s="311"/>
      <c r="G96" s="311"/>
      <c r="H96" s="311"/>
      <c r="I96" s="311"/>
      <c r="J96" s="311"/>
      <c r="K96" s="311"/>
      <c r="L96" s="311"/>
      <c r="M96" s="311"/>
      <c r="N96" s="311"/>
      <c r="O96" s="311"/>
      <c r="P96" s="14"/>
      <c r="Q96" s="14"/>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row>
    <row r="97" spans="1:61" s="406" customFormat="1" hidden="1" outlineLevel="1">
      <c r="A97" s="664" t="s">
        <v>1</v>
      </c>
      <c r="B97" s="508" t="s">
        <v>221</v>
      </c>
      <c r="C97" s="497"/>
      <c r="D97" s="497"/>
      <c r="E97" s="497"/>
      <c r="F97" s="497"/>
      <c r="G97" s="497"/>
      <c r="H97" s="497"/>
      <c r="I97" s="497"/>
      <c r="J97" s="497"/>
      <c r="K97" s="497"/>
      <c r="L97" s="497"/>
      <c r="M97" s="497"/>
      <c r="N97" s="497"/>
      <c r="O97" s="497"/>
      <c r="P97" s="500"/>
      <c r="Q97" s="6">
        <v>2017</v>
      </c>
      <c r="R97" s="6">
        <f t="shared" ref="R97:T97" si="8">Q97+1</f>
        <v>2018</v>
      </c>
      <c r="S97" s="6">
        <f t="shared" si="8"/>
        <v>2019</v>
      </c>
      <c r="T97" s="6">
        <f t="shared" si="8"/>
        <v>2020</v>
      </c>
      <c r="U97" s="6">
        <f>T97+1</f>
        <v>2021</v>
      </c>
      <c r="V97" s="6">
        <f t="shared" ref="V97:BI97" si="9">U97+1</f>
        <v>2022</v>
      </c>
      <c r="W97" s="6">
        <f t="shared" si="9"/>
        <v>2023</v>
      </c>
      <c r="X97" s="6">
        <f t="shared" si="9"/>
        <v>2024</v>
      </c>
      <c r="Y97" s="6">
        <f t="shared" si="9"/>
        <v>2025</v>
      </c>
      <c r="Z97" s="6">
        <f t="shared" si="9"/>
        <v>2026</v>
      </c>
      <c r="AA97" s="6">
        <f t="shared" si="9"/>
        <v>2027</v>
      </c>
      <c r="AB97" s="6">
        <f t="shared" si="9"/>
        <v>2028</v>
      </c>
      <c r="AC97" s="6">
        <f t="shared" si="9"/>
        <v>2029</v>
      </c>
      <c r="AD97" s="6">
        <f t="shared" si="9"/>
        <v>2030</v>
      </c>
      <c r="AE97" s="6">
        <f t="shared" si="9"/>
        <v>2031</v>
      </c>
      <c r="AF97" s="6">
        <f t="shared" si="9"/>
        <v>2032</v>
      </c>
      <c r="AG97" s="6">
        <f t="shared" si="9"/>
        <v>2033</v>
      </c>
      <c r="AH97" s="6">
        <f t="shared" si="9"/>
        <v>2034</v>
      </c>
      <c r="AI97" s="6">
        <f t="shared" si="9"/>
        <v>2035</v>
      </c>
      <c r="AJ97" s="6">
        <f t="shared" si="9"/>
        <v>2036</v>
      </c>
      <c r="AK97" s="6">
        <f t="shared" si="9"/>
        <v>2037</v>
      </c>
      <c r="AL97" s="6">
        <f t="shared" si="9"/>
        <v>2038</v>
      </c>
      <c r="AM97" s="6">
        <f t="shared" si="9"/>
        <v>2039</v>
      </c>
      <c r="AN97" s="6">
        <f t="shared" si="9"/>
        <v>2040</v>
      </c>
      <c r="AO97" s="6">
        <f t="shared" si="9"/>
        <v>2041</v>
      </c>
      <c r="AP97" s="6">
        <f t="shared" si="9"/>
        <v>2042</v>
      </c>
      <c r="AQ97" s="6">
        <f t="shared" si="9"/>
        <v>2043</v>
      </c>
      <c r="AR97" s="6">
        <f t="shared" si="9"/>
        <v>2044</v>
      </c>
      <c r="AS97" s="6">
        <f t="shared" si="9"/>
        <v>2045</v>
      </c>
      <c r="AT97" s="6">
        <f t="shared" si="9"/>
        <v>2046</v>
      </c>
      <c r="AU97" s="6">
        <f t="shared" si="9"/>
        <v>2047</v>
      </c>
      <c r="AV97" s="6">
        <f t="shared" si="9"/>
        <v>2048</v>
      </c>
      <c r="AW97" s="6">
        <f t="shared" si="9"/>
        <v>2049</v>
      </c>
      <c r="AX97" s="6">
        <f t="shared" si="9"/>
        <v>2050</v>
      </c>
      <c r="AY97" s="6">
        <f t="shared" si="9"/>
        <v>2051</v>
      </c>
      <c r="AZ97" s="6">
        <f t="shared" si="9"/>
        <v>2052</v>
      </c>
      <c r="BA97" s="6">
        <f t="shared" si="9"/>
        <v>2053</v>
      </c>
      <c r="BB97" s="6">
        <f t="shared" si="9"/>
        <v>2054</v>
      </c>
      <c r="BC97" s="6">
        <f t="shared" si="9"/>
        <v>2055</v>
      </c>
      <c r="BD97" s="6">
        <f t="shared" si="9"/>
        <v>2056</v>
      </c>
      <c r="BE97" s="6">
        <f t="shared" si="9"/>
        <v>2057</v>
      </c>
      <c r="BF97" s="6">
        <f t="shared" si="9"/>
        <v>2058</v>
      </c>
      <c r="BG97" s="6">
        <f t="shared" si="9"/>
        <v>2059</v>
      </c>
      <c r="BH97" s="6">
        <f t="shared" si="9"/>
        <v>2060</v>
      </c>
      <c r="BI97" s="6">
        <f t="shared" si="9"/>
        <v>2061</v>
      </c>
    </row>
    <row r="98" spans="1:61" hidden="1" outlineLevel="1">
      <c r="A98" s="665"/>
      <c r="B98" s="509" t="s">
        <v>315</v>
      </c>
      <c r="C98" s="505"/>
      <c r="D98" s="505"/>
      <c r="E98" s="505"/>
      <c r="F98" s="505"/>
      <c r="G98" s="505"/>
      <c r="H98" s="505"/>
      <c r="I98" s="505"/>
      <c r="J98" s="505"/>
      <c r="K98" s="505"/>
      <c r="L98" s="505"/>
      <c r="M98" s="505"/>
      <c r="N98" s="505"/>
      <c r="O98" s="505"/>
      <c r="P98" s="510"/>
      <c r="Q98" s="506">
        <f>DATE(2016,12,31)</f>
        <v>42735</v>
      </c>
      <c r="R98" s="506">
        <f>DATE(YEAR(Q98+1),12,31)</f>
        <v>43100</v>
      </c>
      <c r="S98" s="506">
        <f t="shared" ref="S98" si="10">DATE(YEAR(R98+1),12,31)</f>
        <v>43465</v>
      </c>
      <c r="T98" s="506">
        <f>DATE(YEAR(S98+1),12,31)</f>
        <v>43830</v>
      </c>
      <c r="U98" s="506">
        <f t="shared" ref="U98:BI98" si="11">DATE(YEAR(T98+1),12,31)</f>
        <v>44196</v>
      </c>
      <c r="V98" s="506">
        <f t="shared" si="11"/>
        <v>44561</v>
      </c>
      <c r="W98" s="506">
        <f t="shared" si="11"/>
        <v>44926</v>
      </c>
      <c r="X98" s="506">
        <f t="shared" si="11"/>
        <v>45291</v>
      </c>
      <c r="Y98" s="506">
        <f t="shared" si="11"/>
        <v>45657</v>
      </c>
      <c r="Z98" s="506">
        <f t="shared" si="11"/>
        <v>46022</v>
      </c>
      <c r="AA98" s="506">
        <f t="shared" si="11"/>
        <v>46387</v>
      </c>
      <c r="AB98" s="506">
        <f t="shared" si="11"/>
        <v>46752</v>
      </c>
      <c r="AC98" s="506">
        <f t="shared" si="11"/>
        <v>47118</v>
      </c>
      <c r="AD98" s="506">
        <f t="shared" si="11"/>
        <v>47483</v>
      </c>
      <c r="AE98" s="506">
        <f t="shared" si="11"/>
        <v>47848</v>
      </c>
      <c r="AF98" s="506">
        <f t="shared" si="11"/>
        <v>48213</v>
      </c>
      <c r="AG98" s="506">
        <f t="shared" si="11"/>
        <v>48579</v>
      </c>
      <c r="AH98" s="506">
        <f t="shared" si="11"/>
        <v>48944</v>
      </c>
      <c r="AI98" s="506">
        <f t="shared" si="11"/>
        <v>49309</v>
      </c>
      <c r="AJ98" s="506">
        <f t="shared" si="11"/>
        <v>49674</v>
      </c>
      <c r="AK98" s="506">
        <f t="shared" si="11"/>
        <v>50040</v>
      </c>
      <c r="AL98" s="506">
        <f t="shared" si="11"/>
        <v>50405</v>
      </c>
      <c r="AM98" s="506">
        <f t="shared" si="11"/>
        <v>50770</v>
      </c>
      <c r="AN98" s="506">
        <f t="shared" si="11"/>
        <v>51135</v>
      </c>
      <c r="AO98" s="506">
        <f t="shared" si="11"/>
        <v>51501</v>
      </c>
      <c r="AP98" s="506">
        <f t="shared" si="11"/>
        <v>51866</v>
      </c>
      <c r="AQ98" s="506">
        <f t="shared" si="11"/>
        <v>52231</v>
      </c>
      <c r="AR98" s="506">
        <f t="shared" si="11"/>
        <v>52596</v>
      </c>
      <c r="AS98" s="506">
        <f t="shared" si="11"/>
        <v>52962</v>
      </c>
      <c r="AT98" s="506">
        <f t="shared" si="11"/>
        <v>53327</v>
      </c>
      <c r="AU98" s="506">
        <f t="shared" si="11"/>
        <v>53692</v>
      </c>
      <c r="AV98" s="506">
        <f t="shared" si="11"/>
        <v>54057</v>
      </c>
      <c r="AW98" s="506">
        <f t="shared" si="11"/>
        <v>54423</v>
      </c>
      <c r="AX98" s="506">
        <f t="shared" si="11"/>
        <v>54788</v>
      </c>
      <c r="AY98" s="506">
        <f t="shared" si="11"/>
        <v>55153</v>
      </c>
      <c r="AZ98" s="506">
        <f t="shared" si="11"/>
        <v>55518</v>
      </c>
      <c r="BA98" s="506">
        <f t="shared" si="11"/>
        <v>55884</v>
      </c>
      <c r="BB98" s="506">
        <f t="shared" si="11"/>
        <v>56249</v>
      </c>
      <c r="BC98" s="506">
        <f t="shared" si="11"/>
        <v>56614</v>
      </c>
      <c r="BD98" s="506">
        <f t="shared" si="11"/>
        <v>56979</v>
      </c>
      <c r="BE98" s="506">
        <f t="shared" si="11"/>
        <v>57345</v>
      </c>
      <c r="BF98" s="506">
        <f t="shared" si="11"/>
        <v>57710</v>
      </c>
      <c r="BG98" s="506">
        <f t="shared" si="11"/>
        <v>58075</v>
      </c>
      <c r="BH98" s="506">
        <f t="shared" si="11"/>
        <v>58440</v>
      </c>
      <c r="BI98" s="506">
        <f t="shared" si="11"/>
        <v>58806</v>
      </c>
    </row>
    <row r="99" spans="1:61" ht="33" hidden="1" outlineLevel="1">
      <c r="A99" s="8" t="s">
        <v>456</v>
      </c>
      <c r="B99" s="3"/>
      <c r="C99" s="3"/>
      <c r="D99" s="3"/>
      <c r="E99" s="3"/>
      <c r="F99" s="3"/>
      <c r="G99" s="3"/>
      <c r="H99" s="3"/>
      <c r="I99" s="3"/>
      <c r="J99" s="3"/>
      <c r="K99" s="3"/>
      <c r="L99" s="3"/>
      <c r="M99" s="3"/>
      <c r="N99" s="3"/>
      <c r="O99" s="3"/>
      <c r="P99" s="3"/>
      <c r="Q99" s="92">
        <f>$P$84</f>
        <v>80</v>
      </c>
      <c r="R99" s="120">
        <f>Q99+($U99-$Q99)/($U$97-$Q$97)</f>
        <v>80</v>
      </c>
      <c r="S99" s="7">
        <f t="shared" ref="S99:T99" si="12">R99+($U99-$Q99)/($U$97-$Q$97)</f>
        <v>80</v>
      </c>
      <c r="T99" s="121">
        <f t="shared" si="12"/>
        <v>80</v>
      </c>
      <c r="U99" s="122">
        <f>$P$84</f>
        <v>80</v>
      </c>
      <c r="V99" s="120">
        <f>U99+($Z99-$U99)/($Z$97-$U$97)</f>
        <v>97</v>
      </c>
      <c r="W99" s="7">
        <f t="shared" ref="W99:Y99" si="13">V99+($Z99-$U99)/($Z$97-$U$97)</f>
        <v>114</v>
      </c>
      <c r="X99" s="7">
        <f t="shared" si="13"/>
        <v>131</v>
      </c>
      <c r="Y99" s="7">
        <f t="shared" si="13"/>
        <v>148</v>
      </c>
      <c r="Z99" s="122">
        <f>$Q$84</f>
        <v>165</v>
      </c>
      <c r="AA99" s="7">
        <f>Z99+($AE99-$Z99)/($AE$97-$Z$97)</f>
        <v>182</v>
      </c>
      <c r="AB99" s="7">
        <f t="shared" ref="AB99:AD99" si="14">AA99+($AE99-$Z99)/($AE$97-$Z$97)</f>
        <v>199</v>
      </c>
      <c r="AC99" s="7">
        <f t="shared" si="14"/>
        <v>216</v>
      </c>
      <c r="AD99" s="7">
        <f t="shared" si="14"/>
        <v>233</v>
      </c>
      <c r="AE99" s="122">
        <f>$R$84</f>
        <v>250</v>
      </c>
      <c r="AF99" s="7">
        <f>AE99+($AJ99-$AE99)/($AJ$97-$AE$97)</f>
        <v>278</v>
      </c>
      <c r="AG99" s="7">
        <f t="shared" ref="AG99:AI99" si="15">AF99+($AJ99-$AE99)/($AJ$97-$AE$97)</f>
        <v>306</v>
      </c>
      <c r="AH99" s="7">
        <f t="shared" si="15"/>
        <v>334</v>
      </c>
      <c r="AI99" s="7">
        <f t="shared" si="15"/>
        <v>362</v>
      </c>
      <c r="AJ99" s="122">
        <f>$S$84</f>
        <v>390</v>
      </c>
      <c r="AK99" s="7">
        <f>AJ99+($AO99-$AJ99)/($AO$97-$AJ$97)</f>
        <v>417</v>
      </c>
      <c r="AL99" s="7">
        <f t="shared" ref="AL99:AN99" si="16">AK99+($AO99-$AJ99)/($AO$97-$AJ$97)</f>
        <v>444</v>
      </c>
      <c r="AM99" s="7">
        <f t="shared" si="16"/>
        <v>471</v>
      </c>
      <c r="AN99" s="7">
        <f t="shared" si="16"/>
        <v>498</v>
      </c>
      <c r="AO99" s="122">
        <f>$T$84</f>
        <v>525</v>
      </c>
      <c r="AP99" s="7">
        <f>AO99+($AT99-$AO99)/($AT$97-$AO$97)</f>
        <v>552</v>
      </c>
      <c r="AQ99" s="7">
        <f t="shared" ref="AQ99:AS99" si="17">AP99+($AT99-$AO99)/($AT$97-$AO$97)</f>
        <v>579</v>
      </c>
      <c r="AR99" s="7">
        <f t="shared" si="17"/>
        <v>606</v>
      </c>
      <c r="AS99" s="7">
        <f t="shared" si="17"/>
        <v>633</v>
      </c>
      <c r="AT99" s="122">
        <f>$U$84</f>
        <v>660</v>
      </c>
      <c r="AU99" s="7">
        <f>AT99+($AY99-$AT99)/($AY$97-$AT$97)</f>
        <v>688</v>
      </c>
      <c r="AV99" s="7">
        <f t="shared" ref="AV99:AX99" si="18">AU99+($AY99-$AT99)/($AY$97-$AT$97)</f>
        <v>716</v>
      </c>
      <c r="AW99" s="7">
        <f t="shared" si="18"/>
        <v>744</v>
      </c>
      <c r="AX99" s="7">
        <f t="shared" si="18"/>
        <v>772</v>
      </c>
      <c r="AY99" s="122">
        <f>$V$84</f>
        <v>800</v>
      </c>
      <c r="AZ99" s="7">
        <f>AY99</f>
        <v>800</v>
      </c>
      <c r="BA99" s="7">
        <f t="shared" ref="BA99:BI99" si="19">AZ99</f>
        <v>800</v>
      </c>
      <c r="BB99" s="7">
        <f t="shared" si="19"/>
        <v>800</v>
      </c>
      <c r="BC99" s="7">
        <f t="shared" si="19"/>
        <v>800</v>
      </c>
      <c r="BD99" s="7">
        <f t="shared" si="19"/>
        <v>800</v>
      </c>
      <c r="BE99" s="7">
        <f t="shared" si="19"/>
        <v>800</v>
      </c>
      <c r="BF99" s="7">
        <f t="shared" si="19"/>
        <v>800</v>
      </c>
      <c r="BG99" s="7">
        <f t="shared" si="19"/>
        <v>800</v>
      </c>
      <c r="BH99" s="7">
        <f t="shared" si="19"/>
        <v>800</v>
      </c>
      <c r="BI99" s="7">
        <f t="shared" si="19"/>
        <v>800</v>
      </c>
    </row>
    <row r="100" spans="1:61" hidden="1" outlineLevel="1">
      <c r="A100" s="15" t="s">
        <v>457</v>
      </c>
      <c r="B100" s="16"/>
      <c r="C100" s="16"/>
      <c r="D100" s="16"/>
      <c r="E100" s="16"/>
      <c r="F100" s="16"/>
      <c r="G100" s="16"/>
      <c r="H100" s="16"/>
      <c r="I100" s="16"/>
      <c r="J100" s="16"/>
      <c r="K100" s="16"/>
      <c r="L100" s="16"/>
      <c r="M100" s="16"/>
      <c r="N100" s="16"/>
      <c r="O100" s="16"/>
      <c r="P100" s="16"/>
      <c r="Q100" s="18"/>
      <c r="R100" s="17">
        <f t="shared" ref="R100:BI100" si="20">R99-Q99</f>
        <v>0</v>
      </c>
      <c r="S100" s="17">
        <f t="shared" si="20"/>
        <v>0</v>
      </c>
      <c r="T100" s="17">
        <f t="shared" si="20"/>
        <v>0</v>
      </c>
      <c r="U100" s="17">
        <f t="shared" si="20"/>
        <v>0</v>
      </c>
      <c r="V100" s="17">
        <f t="shared" si="20"/>
        <v>17</v>
      </c>
      <c r="W100" s="17">
        <f t="shared" si="20"/>
        <v>17</v>
      </c>
      <c r="X100" s="17">
        <f t="shared" si="20"/>
        <v>17</v>
      </c>
      <c r="Y100" s="17">
        <f t="shared" si="20"/>
        <v>17</v>
      </c>
      <c r="Z100" s="17">
        <f t="shared" si="20"/>
        <v>17</v>
      </c>
      <c r="AA100" s="17">
        <f t="shared" si="20"/>
        <v>17</v>
      </c>
      <c r="AB100" s="17">
        <f t="shared" si="20"/>
        <v>17</v>
      </c>
      <c r="AC100" s="17">
        <f t="shared" si="20"/>
        <v>17</v>
      </c>
      <c r="AD100" s="17">
        <f t="shared" si="20"/>
        <v>17</v>
      </c>
      <c r="AE100" s="17">
        <f t="shared" si="20"/>
        <v>17</v>
      </c>
      <c r="AF100" s="17">
        <f t="shared" si="20"/>
        <v>28</v>
      </c>
      <c r="AG100" s="17">
        <f t="shared" si="20"/>
        <v>28</v>
      </c>
      <c r="AH100" s="17">
        <f t="shared" si="20"/>
        <v>28</v>
      </c>
      <c r="AI100" s="17">
        <f t="shared" si="20"/>
        <v>28</v>
      </c>
      <c r="AJ100" s="17">
        <f t="shared" si="20"/>
        <v>28</v>
      </c>
      <c r="AK100" s="17">
        <f t="shared" si="20"/>
        <v>27</v>
      </c>
      <c r="AL100" s="17">
        <f t="shared" si="20"/>
        <v>27</v>
      </c>
      <c r="AM100" s="17">
        <f t="shared" si="20"/>
        <v>27</v>
      </c>
      <c r="AN100" s="17">
        <f t="shared" si="20"/>
        <v>27</v>
      </c>
      <c r="AO100" s="17">
        <f t="shared" si="20"/>
        <v>27</v>
      </c>
      <c r="AP100" s="17">
        <f t="shared" si="20"/>
        <v>27</v>
      </c>
      <c r="AQ100" s="17">
        <f t="shared" si="20"/>
        <v>27</v>
      </c>
      <c r="AR100" s="17">
        <f t="shared" si="20"/>
        <v>27</v>
      </c>
      <c r="AS100" s="17">
        <f t="shared" si="20"/>
        <v>27</v>
      </c>
      <c r="AT100" s="17">
        <f t="shared" si="20"/>
        <v>27</v>
      </c>
      <c r="AU100" s="17">
        <f t="shared" si="20"/>
        <v>28</v>
      </c>
      <c r="AV100" s="17">
        <f t="shared" si="20"/>
        <v>28</v>
      </c>
      <c r="AW100" s="17">
        <f t="shared" si="20"/>
        <v>28</v>
      </c>
      <c r="AX100" s="17">
        <f t="shared" si="20"/>
        <v>28</v>
      </c>
      <c r="AY100" s="17">
        <f t="shared" si="20"/>
        <v>28</v>
      </c>
      <c r="AZ100" s="17">
        <f t="shared" si="20"/>
        <v>0</v>
      </c>
      <c r="BA100" s="17">
        <f t="shared" si="20"/>
        <v>0</v>
      </c>
      <c r="BB100" s="17">
        <f t="shared" si="20"/>
        <v>0</v>
      </c>
      <c r="BC100" s="17">
        <f t="shared" si="20"/>
        <v>0</v>
      </c>
      <c r="BD100" s="17">
        <f t="shared" si="20"/>
        <v>0</v>
      </c>
      <c r="BE100" s="17">
        <f t="shared" si="20"/>
        <v>0</v>
      </c>
      <c r="BF100" s="17">
        <f t="shared" si="20"/>
        <v>0</v>
      </c>
      <c r="BG100" s="17">
        <f t="shared" si="20"/>
        <v>0</v>
      </c>
      <c r="BH100" s="17">
        <f t="shared" si="20"/>
        <v>0</v>
      </c>
      <c r="BI100" s="17">
        <f t="shared" si="20"/>
        <v>0</v>
      </c>
    </row>
    <row r="101" spans="1:61" ht="48" hidden="1" outlineLevel="1">
      <c r="A101" s="8" t="s">
        <v>41</v>
      </c>
      <c r="B101" s="3"/>
      <c r="C101" s="3"/>
      <c r="D101" s="3"/>
      <c r="E101" s="3"/>
      <c r="F101" s="3"/>
      <c r="G101" s="3"/>
      <c r="H101" s="3"/>
      <c r="I101" s="3"/>
      <c r="J101" s="3"/>
      <c r="K101" s="3"/>
      <c r="L101" s="3"/>
      <c r="M101" s="3"/>
      <c r="N101" s="3"/>
      <c r="O101" s="3"/>
      <c r="P101" s="3"/>
      <c r="Q101" s="7">
        <f>Q$99*$Q$88*Q$93</f>
        <v>349.05599999999998</v>
      </c>
      <c r="R101" s="7">
        <f t="shared" ref="R101:BI101" si="21">R$99*$Q$88*R$93</f>
        <v>356.03712000000002</v>
      </c>
      <c r="S101" s="7">
        <f t="shared" si="21"/>
        <v>361.73371392000001</v>
      </c>
      <c r="T101" s="7">
        <f t="shared" si="21"/>
        <v>370.05358934015999</v>
      </c>
      <c r="U101" s="7">
        <f t="shared" si="21"/>
        <v>382.6354113777254</v>
      </c>
      <c r="V101" s="7">
        <f t="shared" si="21"/>
        <v>487.60665354656209</v>
      </c>
      <c r="W101" s="7">
        <f t="shared" si="21"/>
        <v>573.06348973513491</v>
      </c>
      <c r="X101" s="7">
        <f t="shared" si="21"/>
        <v>658.52032592370756</v>
      </c>
      <c r="Y101" s="7">
        <f t="shared" si="21"/>
        <v>743.97716211228033</v>
      </c>
      <c r="Z101" s="7">
        <f t="shared" si="21"/>
        <v>829.43399830085309</v>
      </c>
      <c r="AA101" s="7">
        <f t="shared" si="21"/>
        <v>914.89083448942586</v>
      </c>
      <c r="AB101" s="7">
        <f t="shared" si="21"/>
        <v>1000.3476706779985</v>
      </c>
      <c r="AC101" s="7">
        <f t="shared" si="21"/>
        <v>1085.8045068665713</v>
      </c>
      <c r="AD101" s="7">
        <f t="shared" si="21"/>
        <v>1171.2613430551439</v>
      </c>
      <c r="AE101" s="7">
        <f t="shared" si="21"/>
        <v>1256.7181792437168</v>
      </c>
      <c r="AF101" s="7">
        <f t="shared" si="21"/>
        <v>1397.4706153190129</v>
      </c>
      <c r="AG101" s="7">
        <f t="shared" si="21"/>
        <v>1538.2230513943093</v>
      </c>
      <c r="AH101" s="7">
        <f t="shared" si="21"/>
        <v>1678.9754874696057</v>
      </c>
      <c r="AI101" s="7">
        <f t="shared" si="21"/>
        <v>1819.7279235449018</v>
      </c>
      <c r="AJ101" s="7">
        <f t="shared" si="21"/>
        <v>1960.480359620198</v>
      </c>
      <c r="AK101" s="7">
        <f t="shared" si="21"/>
        <v>2096.2059229785195</v>
      </c>
      <c r="AL101" s="7">
        <f t="shared" si="21"/>
        <v>2231.9314863368409</v>
      </c>
      <c r="AM101" s="7">
        <f t="shared" si="21"/>
        <v>2367.6570496951622</v>
      </c>
      <c r="AN101" s="7">
        <f t="shared" si="21"/>
        <v>2503.3826130534835</v>
      </c>
      <c r="AO101" s="7">
        <f t="shared" si="21"/>
        <v>2639.1081764118048</v>
      </c>
      <c r="AP101" s="7">
        <f t="shared" si="21"/>
        <v>2774.8337397701266</v>
      </c>
      <c r="AQ101" s="7">
        <f t="shared" si="21"/>
        <v>2910.5593031284484</v>
      </c>
      <c r="AR101" s="7">
        <f t="shared" si="21"/>
        <v>3046.2848664867697</v>
      </c>
      <c r="AS101" s="7">
        <f t="shared" si="21"/>
        <v>3182.010429845091</v>
      </c>
      <c r="AT101" s="7">
        <f t="shared" si="21"/>
        <v>3317.7359932034124</v>
      </c>
      <c r="AU101" s="7">
        <f t="shared" si="21"/>
        <v>3458.4884292787087</v>
      </c>
      <c r="AV101" s="7">
        <f t="shared" si="21"/>
        <v>3599.2408653540047</v>
      </c>
      <c r="AW101" s="7">
        <f t="shared" si="21"/>
        <v>3739.993301429301</v>
      </c>
      <c r="AX101" s="7">
        <f t="shared" si="21"/>
        <v>3880.7457375045969</v>
      </c>
      <c r="AY101" s="7">
        <f t="shared" si="21"/>
        <v>4021.4981735798938</v>
      </c>
      <c r="AZ101" s="7">
        <f t="shared" si="21"/>
        <v>4021.4981735798938</v>
      </c>
      <c r="BA101" s="7">
        <f t="shared" si="21"/>
        <v>4021.4981735798938</v>
      </c>
      <c r="BB101" s="7">
        <f t="shared" si="21"/>
        <v>4021.4981735798938</v>
      </c>
      <c r="BC101" s="7">
        <f t="shared" si="21"/>
        <v>4021.4981735798938</v>
      </c>
      <c r="BD101" s="7">
        <f t="shared" si="21"/>
        <v>4021.4981735798938</v>
      </c>
      <c r="BE101" s="7">
        <f t="shared" si="21"/>
        <v>4021.4981735798938</v>
      </c>
      <c r="BF101" s="7">
        <f t="shared" si="21"/>
        <v>4021.4981735798938</v>
      </c>
      <c r="BG101" s="7">
        <f t="shared" si="21"/>
        <v>4021.4981735798938</v>
      </c>
      <c r="BH101" s="7">
        <f t="shared" si="21"/>
        <v>4021.4981735798938</v>
      </c>
      <c r="BI101" s="7">
        <f t="shared" si="21"/>
        <v>4021.4981735798938</v>
      </c>
    </row>
    <row r="102" spans="1:61" hidden="1" outlineLevel="1"/>
    <row r="103" spans="1:61" hidden="1" outlineLevel="1"/>
    <row r="104" spans="1:61" s="454" customFormat="1" ht="18" collapsed="1">
      <c r="A104" s="1" t="s">
        <v>304</v>
      </c>
    </row>
    <row r="105" spans="1:61" s="454" customFormat="1">
      <c r="A105" s="450"/>
      <c r="B105" s="614"/>
      <c r="C105" s="615"/>
      <c r="D105" s="615"/>
      <c r="E105" s="615"/>
      <c r="F105" s="615"/>
      <c r="G105" s="615"/>
      <c r="H105" s="615"/>
      <c r="I105" s="615"/>
      <c r="J105" s="615"/>
      <c r="K105" s="615"/>
      <c r="L105" s="615"/>
      <c r="M105" s="615"/>
      <c r="N105" s="615"/>
      <c r="O105" s="615"/>
      <c r="P105" s="616"/>
      <c r="Q105" s="450">
        <v>2016</v>
      </c>
      <c r="R105" s="450">
        <f t="shared" ref="R105:S105" si="22">Q105+1</f>
        <v>2017</v>
      </c>
      <c r="S105" s="450">
        <f t="shared" si="22"/>
        <v>2018</v>
      </c>
      <c r="T105" s="450">
        <f>S105+1</f>
        <v>2019</v>
      </c>
      <c r="U105" s="450">
        <f t="shared" ref="U105" si="23">T105+1</f>
        <v>2020</v>
      </c>
      <c r="V105" s="450">
        <f t="shared" ref="V105" si="24">U105+1</f>
        <v>2021</v>
      </c>
      <c r="W105" s="450">
        <f t="shared" ref="W105" si="25">V105+1</f>
        <v>2022</v>
      </c>
      <c r="X105" s="450">
        <f t="shared" ref="X105" si="26">W105+1</f>
        <v>2023</v>
      </c>
      <c r="Y105" s="450">
        <f t="shared" ref="Y105" si="27">X105+1</f>
        <v>2024</v>
      </c>
      <c r="Z105" s="450">
        <f t="shared" ref="Z105" si="28">Y105+1</f>
        <v>2025</v>
      </c>
      <c r="AA105" s="450">
        <f t="shared" ref="AA105" si="29">Z105+1</f>
        <v>2026</v>
      </c>
      <c r="AB105" s="450">
        <f t="shared" ref="AB105" si="30">AA105+1</f>
        <v>2027</v>
      </c>
      <c r="AC105" s="450">
        <f t="shared" ref="AC105" si="31">AB105+1</f>
        <v>2028</v>
      </c>
      <c r="AD105" s="450">
        <f t="shared" ref="AD105" si="32">AC105+1</f>
        <v>2029</v>
      </c>
      <c r="AE105" s="450">
        <f t="shared" ref="AE105" si="33">AD105+1</f>
        <v>2030</v>
      </c>
      <c r="AF105" s="450">
        <f t="shared" ref="AF105" si="34">AE105+1</f>
        <v>2031</v>
      </c>
      <c r="AG105" s="450">
        <f t="shared" ref="AG105" si="35">AF105+1</f>
        <v>2032</v>
      </c>
      <c r="AH105" s="450">
        <f t="shared" ref="AH105" si="36">AG105+1</f>
        <v>2033</v>
      </c>
      <c r="AI105" s="450">
        <f t="shared" ref="AI105" si="37">AH105+1</f>
        <v>2034</v>
      </c>
      <c r="AJ105" s="450">
        <f t="shared" ref="AJ105" si="38">AI105+1</f>
        <v>2035</v>
      </c>
      <c r="AK105" s="450">
        <f t="shared" ref="AK105" si="39">AJ105+1</f>
        <v>2036</v>
      </c>
      <c r="AL105" s="450">
        <f t="shared" ref="AL105" si="40">AK105+1</f>
        <v>2037</v>
      </c>
      <c r="AM105" s="450">
        <f t="shared" ref="AM105" si="41">AL105+1</f>
        <v>2038</v>
      </c>
      <c r="AN105" s="450">
        <f t="shared" ref="AN105" si="42">AM105+1</f>
        <v>2039</v>
      </c>
      <c r="AO105" s="450">
        <f t="shared" ref="AO105" si="43">AN105+1</f>
        <v>2040</v>
      </c>
      <c r="AP105" s="450">
        <f t="shared" ref="AP105" si="44">AO105+1</f>
        <v>2041</v>
      </c>
      <c r="AQ105" s="450">
        <f t="shared" ref="AQ105" si="45">AP105+1</f>
        <v>2042</v>
      </c>
      <c r="AR105" s="450">
        <f t="shared" ref="AR105" si="46">AQ105+1</f>
        <v>2043</v>
      </c>
      <c r="AS105" s="450">
        <f t="shared" ref="AS105" si="47">AR105+1</f>
        <v>2044</v>
      </c>
      <c r="AT105" s="450">
        <f t="shared" ref="AT105" si="48">AS105+1</f>
        <v>2045</v>
      </c>
      <c r="AU105" s="450">
        <f t="shared" ref="AU105" si="49">AT105+1</f>
        <v>2046</v>
      </c>
      <c r="AV105" s="450">
        <f t="shared" ref="AV105" si="50">AU105+1</f>
        <v>2047</v>
      </c>
      <c r="AW105" s="450">
        <f t="shared" ref="AW105" si="51">AV105+1</f>
        <v>2048</v>
      </c>
      <c r="AX105" s="450">
        <f t="shared" ref="AX105" si="52">AW105+1</f>
        <v>2049</v>
      </c>
      <c r="AY105" s="450">
        <f t="shared" ref="AY105" si="53">AX105+1</f>
        <v>2050</v>
      </c>
      <c r="AZ105" s="450">
        <f t="shared" ref="AZ105" si="54">AY105+1</f>
        <v>2051</v>
      </c>
      <c r="BA105" s="450">
        <f t="shared" ref="BA105" si="55">AZ105+1</f>
        <v>2052</v>
      </c>
      <c r="BB105" s="450">
        <f t="shared" ref="BB105" si="56">BA105+1</f>
        <v>2053</v>
      </c>
      <c r="BC105" s="450">
        <f t="shared" ref="BC105" si="57">BB105+1</f>
        <v>2054</v>
      </c>
      <c r="BD105" s="450">
        <f t="shared" ref="BD105" si="58">BC105+1</f>
        <v>2055</v>
      </c>
      <c r="BE105" s="450">
        <f t="shared" ref="BE105" si="59">BD105+1</f>
        <v>2056</v>
      </c>
      <c r="BF105" s="450">
        <f t="shared" ref="BF105" si="60">BE105+1</f>
        <v>2057</v>
      </c>
      <c r="BG105" s="450">
        <f t="shared" ref="BG105" si="61">BF105+1</f>
        <v>2058</v>
      </c>
      <c r="BH105" s="450">
        <f t="shared" ref="BH105" si="62">BG105+1</f>
        <v>2059</v>
      </c>
      <c r="BI105" s="450">
        <f t="shared" ref="BI105" si="63">BH105+1</f>
        <v>2060</v>
      </c>
    </row>
    <row r="106" spans="1:61" s="454" customFormat="1" ht="33">
      <c r="A106" s="491" t="s">
        <v>305</v>
      </c>
      <c r="B106" s="405"/>
      <c r="C106" s="405"/>
      <c r="D106" s="405"/>
      <c r="E106" s="405"/>
      <c r="F106" s="405"/>
      <c r="G106" s="405"/>
      <c r="H106" s="405"/>
      <c r="I106" s="405"/>
      <c r="J106" s="405"/>
      <c r="K106" s="405"/>
      <c r="L106" s="405"/>
      <c r="M106" s="405"/>
      <c r="N106" s="405"/>
      <c r="O106" s="405"/>
      <c r="P106" s="405"/>
      <c r="Q106" s="611"/>
      <c r="R106" s="405">
        <f t="shared" ref="R106" si="64">(R$101-Q$101)/Q$101</f>
        <v>2.0000000000000094E-2</v>
      </c>
      <c r="S106" s="405">
        <f>(S$101-R$101)/R$101</f>
        <v>1.5999999999999993E-2</v>
      </c>
      <c r="T106" s="405">
        <f t="shared" ref="T106:BI106" si="65">(T$101-S$101)/S$101</f>
        <v>2.2999999999999927E-2</v>
      </c>
      <c r="U106" s="405">
        <f t="shared" si="65"/>
        <v>3.399999999999994E-2</v>
      </c>
      <c r="V106" s="405">
        <f t="shared" si="65"/>
        <v>0.27433749999999985</v>
      </c>
      <c r="W106" s="405">
        <f t="shared" si="65"/>
        <v>0.17525773195876307</v>
      </c>
      <c r="X106" s="405">
        <f t="shared" si="65"/>
        <v>0.14912280701754368</v>
      </c>
      <c r="Y106" s="405">
        <f t="shared" si="65"/>
        <v>0.12977099236641226</v>
      </c>
      <c r="Z106" s="405">
        <f t="shared" si="65"/>
        <v>0.1148648648648649</v>
      </c>
      <c r="AA106" s="405">
        <f t="shared" si="65"/>
        <v>0.10303030303030306</v>
      </c>
      <c r="AB106" s="405">
        <f t="shared" si="65"/>
        <v>9.3406593406593311E-2</v>
      </c>
      <c r="AC106" s="405">
        <f t="shared" si="65"/>
        <v>8.5427135678391983E-2</v>
      </c>
      <c r="AD106" s="405">
        <f t="shared" si="65"/>
        <v>7.8703703703703623E-2</v>
      </c>
      <c r="AE106" s="405">
        <f t="shared" si="65"/>
        <v>7.2961373390558068E-2</v>
      </c>
      <c r="AF106" s="405">
        <f t="shared" si="65"/>
        <v>0.11199999999999989</v>
      </c>
      <c r="AG106" s="405">
        <f t="shared" si="65"/>
        <v>0.10071942446043174</v>
      </c>
      <c r="AH106" s="405">
        <f t="shared" si="65"/>
        <v>9.1503267973856273E-2</v>
      </c>
      <c r="AI106" s="405">
        <f t="shared" si="65"/>
        <v>8.3832335329341229E-2</v>
      </c>
      <c r="AJ106" s="405">
        <f t="shared" si="65"/>
        <v>7.7348066298342469E-2</v>
      </c>
      <c r="AK106" s="405">
        <f t="shared" si="65"/>
        <v>6.9230769230769304E-2</v>
      </c>
      <c r="AL106" s="405">
        <f t="shared" si="65"/>
        <v>6.4748201438848879E-2</v>
      </c>
      <c r="AM106" s="405">
        <f t="shared" si="65"/>
        <v>6.0810810810810773E-2</v>
      </c>
      <c r="AN106" s="405">
        <f t="shared" si="65"/>
        <v>5.7324840764331177E-2</v>
      </c>
      <c r="AO106" s="405">
        <f t="shared" si="65"/>
        <v>5.4216867469879491E-2</v>
      </c>
      <c r="AP106" s="405">
        <f t="shared" si="65"/>
        <v>5.1428571428571573E-2</v>
      </c>
      <c r="AQ106" s="405">
        <f t="shared" si="65"/>
        <v>4.8913043478261004E-2</v>
      </c>
      <c r="AR106" s="405">
        <f t="shared" si="65"/>
        <v>4.6632124352331571E-2</v>
      </c>
      <c r="AS106" s="405">
        <f t="shared" si="65"/>
        <v>4.4554455445544525E-2</v>
      </c>
      <c r="AT106" s="405">
        <f t="shared" si="65"/>
        <v>4.2654028436018926E-2</v>
      </c>
      <c r="AU106" s="405">
        <f t="shared" si="65"/>
        <v>4.2424242424242455E-2</v>
      </c>
      <c r="AV106" s="405">
        <f t="shared" si="65"/>
        <v>4.0697674418604543E-2</v>
      </c>
      <c r="AW106" s="405">
        <f t="shared" si="65"/>
        <v>3.9106145251396676E-2</v>
      </c>
      <c r="AX106" s="405">
        <f t="shared" si="65"/>
        <v>3.7634408602150442E-2</v>
      </c>
      <c r="AY106" s="405">
        <f t="shared" si="65"/>
        <v>3.6269430051813614E-2</v>
      </c>
      <c r="AZ106" s="405">
        <f t="shared" si="65"/>
        <v>0</v>
      </c>
      <c r="BA106" s="405">
        <f t="shared" si="65"/>
        <v>0</v>
      </c>
      <c r="BB106" s="405">
        <f t="shared" si="65"/>
        <v>0</v>
      </c>
      <c r="BC106" s="405">
        <f t="shared" si="65"/>
        <v>0</v>
      </c>
      <c r="BD106" s="405">
        <f t="shared" si="65"/>
        <v>0</v>
      </c>
      <c r="BE106" s="405">
        <f t="shared" si="65"/>
        <v>0</v>
      </c>
      <c r="BF106" s="405">
        <f t="shared" si="65"/>
        <v>0</v>
      </c>
      <c r="BG106" s="405">
        <f t="shared" si="65"/>
        <v>0</v>
      </c>
      <c r="BH106" s="405">
        <f t="shared" si="65"/>
        <v>0</v>
      </c>
      <c r="BI106" s="405">
        <f t="shared" si="65"/>
        <v>0</v>
      </c>
    </row>
    <row r="107" spans="1:61" s="516" customFormat="1" ht="48">
      <c r="A107" s="515" t="s">
        <v>503</v>
      </c>
      <c r="B107" s="405"/>
      <c r="C107" s="405"/>
      <c r="D107" s="405"/>
      <c r="E107" s="405"/>
      <c r="F107" s="405"/>
      <c r="G107" s="405"/>
      <c r="H107" s="405"/>
      <c r="I107" s="405"/>
      <c r="J107" s="405"/>
      <c r="K107" s="405"/>
      <c r="L107" s="405"/>
      <c r="M107" s="405"/>
      <c r="N107" s="405"/>
      <c r="O107" s="405"/>
      <c r="P107" s="405"/>
      <c r="Q107" s="405">
        <f t="shared" ref="Q107:R107" si="66">(Q$101-$Q$101)/$Q$101</f>
        <v>0</v>
      </c>
      <c r="R107" s="405">
        <f t="shared" si="66"/>
        <v>2.0000000000000094E-2</v>
      </c>
      <c r="S107" s="405">
        <f>(S$101-$Q$101)/$Q$101</f>
        <v>3.6320000000000088E-2</v>
      </c>
      <c r="T107" s="405">
        <f t="shared" ref="T107:BI107" si="67">(T$101-$Q$101)/$Q$101</f>
        <v>6.0155360000000019E-2</v>
      </c>
      <c r="U107" s="405">
        <f t="shared" si="67"/>
        <v>9.6200642239999953E-2</v>
      </c>
      <c r="V107" s="405">
        <f t="shared" si="67"/>
        <v>0.39692958593051575</v>
      </c>
      <c r="W107" s="405">
        <f t="shared" si="67"/>
        <v>0.64175229686679192</v>
      </c>
      <c r="X107" s="405">
        <f t="shared" si="67"/>
        <v>0.88657500780306764</v>
      </c>
      <c r="Y107" s="405">
        <f t="shared" si="67"/>
        <v>1.1313977187393438</v>
      </c>
      <c r="Z107" s="405">
        <f t="shared" si="67"/>
        <v>1.3762204296756197</v>
      </c>
      <c r="AA107" s="405">
        <f t="shared" si="67"/>
        <v>1.6210431406118959</v>
      </c>
      <c r="AB107" s="405">
        <f t="shared" si="67"/>
        <v>1.8658658515481716</v>
      </c>
      <c r="AC107" s="405">
        <f t="shared" si="67"/>
        <v>2.1106885624844476</v>
      </c>
      <c r="AD107" s="405">
        <f t="shared" si="67"/>
        <v>2.3555112734207233</v>
      </c>
      <c r="AE107" s="405">
        <f t="shared" si="67"/>
        <v>2.6003339843569995</v>
      </c>
      <c r="AF107" s="405">
        <f t="shared" si="67"/>
        <v>3.003571390604983</v>
      </c>
      <c r="AG107" s="405">
        <f t="shared" si="67"/>
        <v>3.4068087968529674</v>
      </c>
      <c r="AH107" s="405">
        <f t="shared" si="67"/>
        <v>3.8100462031009514</v>
      </c>
      <c r="AI107" s="405">
        <f t="shared" si="67"/>
        <v>4.2132836093489354</v>
      </c>
      <c r="AJ107" s="405">
        <f t="shared" si="67"/>
        <v>4.616521015596919</v>
      </c>
      <c r="AK107" s="405">
        <f t="shared" si="67"/>
        <v>5.005357085907475</v>
      </c>
      <c r="AL107" s="405">
        <f t="shared" si="67"/>
        <v>5.394193156218031</v>
      </c>
      <c r="AM107" s="405">
        <f t="shared" si="67"/>
        <v>5.7830292265285861</v>
      </c>
      <c r="AN107" s="405">
        <f t="shared" si="67"/>
        <v>6.1718652968391421</v>
      </c>
      <c r="AO107" s="405">
        <f t="shared" si="67"/>
        <v>6.5607013671496981</v>
      </c>
      <c r="AP107" s="405">
        <f t="shared" si="67"/>
        <v>6.949537437460255</v>
      </c>
      <c r="AQ107" s="405">
        <f t="shared" si="67"/>
        <v>7.3383735077708119</v>
      </c>
      <c r="AR107" s="405">
        <f t="shared" si="67"/>
        <v>7.7272095780813679</v>
      </c>
      <c r="AS107" s="405">
        <f t="shared" si="67"/>
        <v>8.116045648391923</v>
      </c>
      <c r="AT107" s="405">
        <f t="shared" si="67"/>
        <v>8.5048817187024781</v>
      </c>
      <c r="AU107" s="405">
        <f t="shared" si="67"/>
        <v>8.9081191249504634</v>
      </c>
      <c r="AV107" s="405">
        <f t="shared" si="67"/>
        <v>9.3113565311984452</v>
      </c>
      <c r="AW107" s="405">
        <f t="shared" si="67"/>
        <v>9.7145939374464305</v>
      </c>
      <c r="AX107" s="405">
        <f t="shared" si="67"/>
        <v>10.117831343694412</v>
      </c>
      <c r="AY107" s="405">
        <f t="shared" si="67"/>
        <v>10.521068749942399</v>
      </c>
      <c r="AZ107" s="405">
        <f t="shared" si="67"/>
        <v>10.521068749942399</v>
      </c>
      <c r="BA107" s="405">
        <f t="shared" si="67"/>
        <v>10.521068749942399</v>
      </c>
      <c r="BB107" s="405">
        <f t="shared" si="67"/>
        <v>10.521068749942399</v>
      </c>
      <c r="BC107" s="405">
        <f t="shared" si="67"/>
        <v>10.521068749942399</v>
      </c>
      <c r="BD107" s="405">
        <f t="shared" si="67"/>
        <v>10.521068749942399</v>
      </c>
      <c r="BE107" s="405">
        <f t="shared" si="67"/>
        <v>10.521068749942399</v>
      </c>
      <c r="BF107" s="405">
        <f t="shared" si="67"/>
        <v>10.521068749942399</v>
      </c>
      <c r="BG107" s="405">
        <f t="shared" si="67"/>
        <v>10.521068749942399</v>
      </c>
      <c r="BH107" s="405">
        <f t="shared" si="67"/>
        <v>10.521068749942399</v>
      </c>
      <c r="BI107" s="405">
        <f t="shared" si="67"/>
        <v>10.521068749942399</v>
      </c>
    </row>
    <row r="108" spans="1:61" s="454" customFormat="1"/>
    <row r="109" spans="1:61">
      <c r="A109" s="685" t="s">
        <v>419</v>
      </c>
      <c r="B109" s="685"/>
      <c r="C109" s="685"/>
      <c r="D109" s="685"/>
      <c r="E109" s="685"/>
      <c r="F109" s="685"/>
      <c r="G109" s="685"/>
      <c r="H109" s="685"/>
      <c r="I109" s="685"/>
      <c r="J109" s="685"/>
      <c r="K109" s="685"/>
      <c r="L109" s="685"/>
      <c r="M109" s="685"/>
      <c r="N109" s="685"/>
      <c r="O109" s="685"/>
      <c r="P109" s="685"/>
      <c r="Q109" s="685"/>
      <c r="R109" s="685"/>
      <c r="S109" s="685"/>
      <c r="T109" s="685"/>
      <c r="U109" s="685"/>
      <c r="V109" s="685"/>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c r="BE109" s="311"/>
      <c r="BF109" s="311"/>
      <c r="BG109" s="311"/>
      <c r="BH109" s="311"/>
      <c r="BI109" s="311"/>
    </row>
    <row r="110" spans="1:61" s="513" customFormat="1">
      <c r="A110" s="685"/>
      <c r="B110" s="685"/>
      <c r="C110" s="685"/>
      <c r="D110" s="685"/>
      <c r="E110" s="685"/>
      <c r="F110" s="685"/>
      <c r="G110" s="685"/>
      <c r="H110" s="685"/>
      <c r="I110" s="685"/>
      <c r="J110" s="685"/>
      <c r="K110" s="685"/>
      <c r="L110" s="685"/>
      <c r="M110" s="685"/>
      <c r="N110" s="685"/>
      <c r="O110" s="685"/>
      <c r="P110" s="685"/>
      <c r="Q110" s="685"/>
      <c r="R110" s="685"/>
      <c r="S110" s="685"/>
      <c r="T110" s="685"/>
      <c r="U110" s="685"/>
      <c r="V110" s="685"/>
    </row>
    <row r="111" spans="1:61">
      <c r="A111" s="645" t="str">
        <f>$A$36</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11" s="645"/>
      <c r="C111" s="645"/>
      <c r="D111" s="645"/>
      <c r="E111" s="645"/>
      <c r="F111" s="645"/>
      <c r="G111" s="645"/>
      <c r="H111" s="645"/>
      <c r="I111" s="645"/>
      <c r="J111" s="645"/>
      <c r="K111" s="645"/>
      <c r="L111" s="645"/>
      <c r="M111" s="645"/>
      <c r="N111" s="645"/>
      <c r="O111" s="645"/>
      <c r="P111" s="645"/>
      <c r="Q111" s="645"/>
      <c r="R111" s="645"/>
      <c r="S111" s="645"/>
      <c r="T111" s="645"/>
      <c r="U111" s="645"/>
      <c r="V111" s="645"/>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row>
    <row r="112" spans="1:61" s="513" customFormat="1">
      <c r="A112" s="645"/>
      <c r="B112" s="645"/>
      <c r="C112" s="645"/>
      <c r="D112" s="645"/>
      <c r="E112" s="645"/>
      <c r="F112" s="645"/>
      <c r="G112" s="645"/>
      <c r="H112" s="645"/>
      <c r="I112" s="645"/>
      <c r="J112" s="645"/>
      <c r="K112" s="645"/>
      <c r="L112" s="645"/>
      <c r="M112" s="645"/>
      <c r="N112" s="645"/>
      <c r="O112" s="645"/>
      <c r="P112" s="645"/>
      <c r="Q112" s="645"/>
      <c r="R112" s="645"/>
      <c r="S112" s="645"/>
      <c r="T112" s="645"/>
      <c r="U112" s="645"/>
      <c r="V112" s="645"/>
    </row>
    <row r="113" spans="1:61" s="513" customFormat="1">
      <c r="A113" s="650"/>
      <c r="B113" s="650"/>
      <c r="C113" s="650"/>
      <c r="D113" s="650"/>
      <c r="E113" s="650"/>
      <c r="F113" s="650"/>
      <c r="G113" s="650"/>
      <c r="H113" s="650"/>
      <c r="I113" s="650"/>
      <c r="J113" s="650"/>
      <c r="K113" s="650"/>
      <c r="L113" s="650"/>
      <c r="M113" s="650"/>
      <c r="N113" s="650"/>
      <c r="O113" s="650"/>
      <c r="P113" s="650"/>
      <c r="Q113" s="650"/>
      <c r="R113" s="650"/>
      <c r="S113" s="650"/>
      <c r="T113" s="650"/>
      <c r="U113" s="650"/>
      <c r="V113" s="650"/>
    </row>
    <row r="114" spans="1:61" s="406" customFormat="1">
      <c r="A114" s="664" t="s">
        <v>222</v>
      </c>
      <c r="B114" s="508" t="s">
        <v>221</v>
      </c>
      <c r="C114" s="497"/>
      <c r="D114" s="497"/>
      <c r="E114" s="497"/>
      <c r="F114" s="497"/>
      <c r="G114" s="497"/>
      <c r="H114" s="497"/>
      <c r="I114" s="497"/>
      <c r="J114" s="497"/>
      <c r="K114" s="497"/>
      <c r="L114" s="497"/>
      <c r="M114" s="497"/>
      <c r="N114" s="497"/>
      <c r="O114" s="497"/>
      <c r="P114" s="500"/>
      <c r="Q114" s="6"/>
      <c r="R114" s="6"/>
      <c r="S114" s="6"/>
      <c r="T114" s="6">
        <v>2020</v>
      </c>
      <c r="U114" s="6">
        <f>T114+1</f>
        <v>2021</v>
      </c>
      <c r="V114" s="6">
        <f t="shared" ref="V114:BI114" si="68">U114+1</f>
        <v>2022</v>
      </c>
      <c r="W114" s="6">
        <f t="shared" si="68"/>
        <v>2023</v>
      </c>
      <c r="X114" s="6">
        <f t="shared" si="68"/>
        <v>2024</v>
      </c>
      <c r="Y114" s="6">
        <f t="shared" si="68"/>
        <v>2025</v>
      </c>
      <c r="Z114" s="6">
        <f t="shared" si="68"/>
        <v>2026</v>
      </c>
      <c r="AA114" s="6">
        <f t="shared" si="68"/>
        <v>2027</v>
      </c>
      <c r="AB114" s="6">
        <f t="shared" si="68"/>
        <v>2028</v>
      </c>
      <c r="AC114" s="6">
        <f t="shared" si="68"/>
        <v>2029</v>
      </c>
      <c r="AD114" s="6">
        <f t="shared" si="68"/>
        <v>2030</v>
      </c>
      <c r="AE114" s="6">
        <f t="shared" si="68"/>
        <v>2031</v>
      </c>
      <c r="AF114" s="6">
        <f t="shared" si="68"/>
        <v>2032</v>
      </c>
      <c r="AG114" s="6">
        <f t="shared" si="68"/>
        <v>2033</v>
      </c>
      <c r="AH114" s="6">
        <f t="shared" si="68"/>
        <v>2034</v>
      </c>
      <c r="AI114" s="6">
        <f t="shared" si="68"/>
        <v>2035</v>
      </c>
      <c r="AJ114" s="6">
        <f t="shared" si="68"/>
        <v>2036</v>
      </c>
      <c r="AK114" s="6">
        <f t="shared" si="68"/>
        <v>2037</v>
      </c>
      <c r="AL114" s="6">
        <f t="shared" si="68"/>
        <v>2038</v>
      </c>
      <c r="AM114" s="6">
        <f t="shared" si="68"/>
        <v>2039</v>
      </c>
      <c r="AN114" s="6">
        <f t="shared" si="68"/>
        <v>2040</v>
      </c>
      <c r="AO114" s="6">
        <f t="shared" si="68"/>
        <v>2041</v>
      </c>
      <c r="AP114" s="6">
        <f t="shared" si="68"/>
        <v>2042</v>
      </c>
      <c r="AQ114" s="6">
        <f t="shared" si="68"/>
        <v>2043</v>
      </c>
      <c r="AR114" s="6">
        <f t="shared" si="68"/>
        <v>2044</v>
      </c>
      <c r="AS114" s="6">
        <f t="shared" si="68"/>
        <v>2045</v>
      </c>
      <c r="AT114" s="6">
        <f t="shared" si="68"/>
        <v>2046</v>
      </c>
      <c r="AU114" s="6">
        <f t="shared" si="68"/>
        <v>2047</v>
      </c>
      <c r="AV114" s="6">
        <f t="shared" si="68"/>
        <v>2048</v>
      </c>
      <c r="AW114" s="6">
        <f t="shared" si="68"/>
        <v>2049</v>
      </c>
      <c r="AX114" s="6">
        <f t="shared" si="68"/>
        <v>2050</v>
      </c>
      <c r="AY114" s="6">
        <f t="shared" si="68"/>
        <v>2051</v>
      </c>
      <c r="AZ114" s="6">
        <f t="shared" si="68"/>
        <v>2052</v>
      </c>
      <c r="BA114" s="6">
        <f t="shared" si="68"/>
        <v>2053</v>
      </c>
      <c r="BB114" s="6">
        <f t="shared" si="68"/>
        <v>2054</v>
      </c>
      <c r="BC114" s="6">
        <f t="shared" si="68"/>
        <v>2055</v>
      </c>
      <c r="BD114" s="6">
        <f t="shared" si="68"/>
        <v>2056</v>
      </c>
      <c r="BE114" s="6">
        <f t="shared" si="68"/>
        <v>2057</v>
      </c>
      <c r="BF114" s="6">
        <f t="shared" si="68"/>
        <v>2058</v>
      </c>
      <c r="BG114" s="6">
        <f t="shared" si="68"/>
        <v>2059</v>
      </c>
      <c r="BH114" s="6">
        <f t="shared" si="68"/>
        <v>2060</v>
      </c>
      <c r="BI114" s="6">
        <f t="shared" si="68"/>
        <v>2061</v>
      </c>
    </row>
    <row r="115" spans="1:61">
      <c r="A115" s="665"/>
      <c r="B115" s="509" t="s">
        <v>315</v>
      </c>
      <c r="C115" s="505"/>
      <c r="D115" s="505"/>
      <c r="E115" s="505"/>
      <c r="F115" s="505"/>
      <c r="G115" s="505"/>
      <c r="H115" s="505"/>
      <c r="I115" s="505"/>
      <c r="J115" s="505"/>
      <c r="K115" s="505"/>
      <c r="L115" s="505"/>
      <c r="M115" s="505"/>
      <c r="N115" s="505"/>
      <c r="O115" s="505"/>
      <c r="P115" s="510"/>
      <c r="Q115" s="506">
        <f>DATE(2016,12,31)</f>
        <v>42735</v>
      </c>
      <c r="R115" s="506">
        <f>DATE(YEAR(Q115+1),12,31)</f>
        <v>43100</v>
      </c>
      <c r="S115" s="506">
        <f t="shared" ref="S115" si="69">DATE(YEAR(R115+1),12,31)</f>
        <v>43465</v>
      </c>
      <c r="T115" s="506">
        <f>DATE(YEAR(S115+1),12,31)</f>
        <v>43830</v>
      </c>
      <c r="U115" s="506">
        <f t="shared" ref="U115:BI115" si="70">DATE(YEAR(T115+1),12,31)</f>
        <v>44196</v>
      </c>
      <c r="V115" s="506">
        <f t="shared" si="70"/>
        <v>44561</v>
      </c>
      <c r="W115" s="506">
        <f t="shared" si="70"/>
        <v>44926</v>
      </c>
      <c r="X115" s="506">
        <f t="shared" si="70"/>
        <v>45291</v>
      </c>
      <c r="Y115" s="506">
        <f t="shared" si="70"/>
        <v>45657</v>
      </c>
      <c r="Z115" s="506">
        <f t="shared" si="70"/>
        <v>46022</v>
      </c>
      <c r="AA115" s="506">
        <f t="shared" si="70"/>
        <v>46387</v>
      </c>
      <c r="AB115" s="506">
        <f t="shared" si="70"/>
        <v>46752</v>
      </c>
      <c r="AC115" s="506">
        <f t="shared" si="70"/>
        <v>47118</v>
      </c>
      <c r="AD115" s="506">
        <f t="shared" si="70"/>
        <v>47483</v>
      </c>
      <c r="AE115" s="506">
        <f t="shared" si="70"/>
        <v>47848</v>
      </c>
      <c r="AF115" s="506">
        <f t="shared" si="70"/>
        <v>48213</v>
      </c>
      <c r="AG115" s="506">
        <f t="shared" si="70"/>
        <v>48579</v>
      </c>
      <c r="AH115" s="506">
        <f t="shared" si="70"/>
        <v>48944</v>
      </c>
      <c r="AI115" s="506">
        <f t="shared" si="70"/>
        <v>49309</v>
      </c>
      <c r="AJ115" s="506">
        <f t="shared" si="70"/>
        <v>49674</v>
      </c>
      <c r="AK115" s="506">
        <f t="shared" si="70"/>
        <v>50040</v>
      </c>
      <c r="AL115" s="506">
        <f t="shared" si="70"/>
        <v>50405</v>
      </c>
      <c r="AM115" s="506">
        <f t="shared" si="70"/>
        <v>50770</v>
      </c>
      <c r="AN115" s="506">
        <f t="shared" si="70"/>
        <v>51135</v>
      </c>
      <c r="AO115" s="506">
        <f t="shared" si="70"/>
        <v>51501</v>
      </c>
      <c r="AP115" s="506">
        <f t="shared" si="70"/>
        <v>51866</v>
      </c>
      <c r="AQ115" s="506">
        <f t="shared" si="70"/>
        <v>52231</v>
      </c>
      <c r="AR115" s="506">
        <f t="shared" si="70"/>
        <v>52596</v>
      </c>
      <c r="AS115" s="506">
        <f t="shared" si="70"/>
        <v>52962</v>
      </c>
      <c r="AT115" s="506">
        <f t="shared" si="70"/>
        <v>53327</v>
      </c>
      <c r="AU115" s="506">
        <f t="shared" si="70"/>
        <v>53692</v>
      </c>
      <c r="AV115" s="506">
        <f t="shared" si="70"/>
        <v>54057</v>
      </c>
      <c r="AW115" s="506">
        <f t="shared" si="70"/>
        <v>54423</v>
      </c>
      <c r="AX115" s="506">
        <f t="shared" si="70"/>
        <v>54788</v>
      </c>
      <c r="AY115" s="506">
        <f t="shared" si="70"/>
        <v>55153</v>
      </c>
      <c r="AZ115" s="506">
        <f t="shared" si="70"/>
        <v>55518</v>
      </c>
      <c r="BA115" s="506">
        <f t="shared" si="70"/>
        <v>55884</v>
      </c>
      <c r="BB115" s="506">
        <f t="shared" si="70"/>
        <v>56249</v>
      </c>
      <c r="BC115" s="506">
        <f t="shared" si="70"/>
        <v>56614</v>
      </c>
      <c r="BD115" s="506">
        <f t="shared" si="70"/>
        <v>56979</v>
      </c>
      <c r="BE115" s="506">
        <f t="shared" si="70"/>
        <v>57345</v>
      </c>
      <c r="BF115" s="506">
        <f t="shared" si="70"/>
        <v>57710</v>
      </c>
      <c r="BG115" s="506">
        <f t="shared" si="70"/>
        <v>58075</v>
      </c>
      <c r="BH115" s="506">
        <f t="shared" si="70"/>
        <v>58440</v>
      </c>
      <c r="BI115" s="506">
        <f t="shared" si="70"/>
        <v>58806</v>
      </c>
    </row>
    <row r="116" spans="1:61">
      <c r="A116" s="8" t="str">
        <f>"Prędkość "&amp;$S$49&amp;" km/h"</f>
        <v>Prędkość 61-70 km/h</v>
      </c>
      <c r="B116" s="129" t="s">
        <v>42</v>
      </c>
      <c r="C116" s="13"/>
      <c r="D116" s="13"/>
      <c r="E116" s="13"/>
      <c r="F116" s="13"/>
      <c r="G116" s="13"/>
      <c r="H116" s="13"/>
      <c r="I116" s="13"/>
      <c r="J116" s="13"/>
      <c r="K116" s="13"/>
      <c r="L116" s="13"/>
      <c r="M116" s="13"/>
      <c r="N116" s="13"/>
      <c r="O116" s="13"/>
      <c r="P116" s="13"/>
      <c r="Q116" s="93"/>
      <c r="R116" s="93"/>
      <c r="S116" s="93"/>
      <c r="T116" s="10">
        <f t="shared" ref="T116:BI116" si="71">T$101*($T$49*10^-6)*$T$74</f>
        <v>6.4298020717986251E-2</v>
      </c>
      <c r="U116" s="10">
        <f t="shared" si="71"/>
        <v>6.6484153422397774E-2</v>
      </c>
      <c r="V116" s="10">
        <f t="shared" si="71"/>
        <v>8.4723249861914818E-2</v>
      </c>
      <c r="W116" s="10">
        <f t="shared" si="71"/>
        <v>9.9571654476889593E-2</v>
      </c>
      <c r="X116" s="10">
        <f t="shared" si="71"/>
        <v>0.11442005909186434</v>
      </c>
      <c r="Y116" s="10">
        <f t="shared" si="71"/>
        <v>0.12926846370683912</v>
      </c>
      <c r="Z116" s="10">
        <f t="shared" si="71"/>
        <v>0.14411686832181389</v>
      </c>
      <c r="AA116" s="10">
        <f t="shared" si="71"/>
        <v>0.15896527293678864</v>
      </c>
      <c r="AB116" s="10">
        <f t="shared" si="71"/>
        <v>0.17381367755176338</v>
      </c>
      <c r="AC116" s="10">
        <f t="shared" si="71"/>
        <v>0.18866208216673816</v>
      </c>
      <c r="AD116" s="10">
        <f t="shared" si="71"/>
        <v>0.20351048678171291</v>
      </c>
      <c r="AE116" s="10">
        <f t="shared" si="71"/>
        <v>0.21835889139668768</v>
      </c>
      <c r="AF116" s="10">
        <f t="shared" si="71"/>
        <v>0.24281508723311668</v>
      </c>
      <c r="AG116" s="10">
        <f t="shared" si="71"/>
        <v>0.26727128306954573</v>
      </c>
      <c r="AH116" s="10">
        <f t="shared" si="71"/>
        <v>0.29172747890597478</v>
      </c>
      <c r="AI116" s="10">
        <f t="shared" si="71"/>
        <v>0.31618367474240378</v>
      </c>
      <c r="AJ116" s="10">
        <f t="shared" si="71"/>
        <v>0.34063987057883277</v>
      </c>
      <c r="AK116" s="10">
        <f t="shared" si="71"/>
        <v>0.36422263084967504</v>
      </c>
      <c r="AL116" s="10">
        <f t="shared" si="71"/>
        <v>0.38780539112051732</v>
      </c>
      <c r="AM116" s="10">
        <f t="shared" si="71"/>
        <v>0.41138815139135959</v>
      </c>
      <c r="AN116" s="10">
        <f t="shared" si="71"/>
        <v>0.43497091166220181</v>
      </c>
      <c r="AO116" s="10">
        <f t="shared" si="71"/>
        <v>0.45855367193304408</v>
      </c>
      <c r="AP116" s="10">
        <f t="shared" si="71"/>
        <v>0.48213643220388641</v>
      </c>
      <c r="AQ116" s="10">
        <f t="shared" si="71"/>
        <v>0.50571919247472874</v>
      </c>
      <c r="AR116" s="10">
        <f t="shared" si="71"/>
        <v>0.52930195274557101</v>
      </c>
      <c r="AS116" s="10">
        <f t="shared" si="71"/>
        <v>0.55288471301641329</v>
      </c>
      <c r="AT116" s="10">
        <f t="shared" si="71"/>
        <v>0.57646747328725556</v>
      </c>
      <c r="AU116" s="10">
        <f t="shared" si="71"/>
        <v>0.60092366912368456</v>
      </c>
      <c r="AV116" s="10">
        <f t="shared" si="71"/>
        <v>0.62537986496011355</v>
      </c>
      <c r="AW116" s="10">
        <f t="shared" si="71"/>
        <v>0.64983606079654255</v>
      </c>
      <c r="AX116" s="10">
        <f t="shared" si="71"/>
        <v>0.67429225663297154</v>
      </c>
      <c r="AY116" s="10">
        <f t="shared" si="71"/>
        <v>0.69874845246940065</v>
      </c>
      <c r="AZ116" s="10">
        <f t="shared" si="71"/>
        <v>0.69874845246940065</v>
      </c>
      <c r="BA116" s="10">
        <f t="shared" si="71"/>
        <v>0.69874845246940065</v>
      </c>
      <c r="BB116" s="10">
        <f t="shared" si="71"/>
        <v>0.69874845246940065</v>
      </c>
      <c r="BC116" s="10">
        <f t="shared" si="71"/>
        <v>0.69874845246940065</v>
      </c>
      <c r="BD116" s="10">
        <f t="shared" si="71"/>
        <v>0.69874845246940065</v>
      </c>
      <c r="BE116" s="10">
        <f t="shared" si="71"/>
        <v>0.69874845246940065</v>
      </c>
      <c r="BF116" s="10">
        <f t="shared" si="71"/>
        <v>0.69874845246940065</v>
      </c>
      <c r="BG116" s="10">
        <f t="shared" si="71"/>
        <v>0.69874845246940065</v>
      </c>
      <c r="BH116" s="10">
        <f t="shared" si="71"/>
        <v>0.69874845246940065</v>
      </c>
      <c r="BI116" s="10">
        <f t="shared" si="71"/>
        <v>0.69874845246940065</v>
      </c>
    </row>
    <row r="117" spans="1:61"/>
    <row r="118" spans="1:61"/>
    <row r="119" spans="1:61"/>
    <row r="120" spans="1:61">
      <c r="A120" s="131" t="s">
        <v>393</v>
      </c>
      <c r="B120" s="131"/>
      <c r="C120" s="131"/>
      <c r="D120" s="131"/>
      <c r="E120" s="131"/>
      <c r="F120" s="131"/>
      <c r="G120" s="131"/>
      <c r="H120" s="131"/>
      <c r="I120" s="131"/>
      <c r="J120" s="131"/>
      <c r="K120" s="131"/>
      <c r="L120" s="131"/>
      <c r="M120" s="131"/>
      <c r="N120" s="131"/>
      <c r="O120" s="131"/>
      <c r="P120" s="131"/>
      <c r="Q120" s="131"/>
    </row>
    <row r="121" spans="1:61" hidden="1" outlineLevel="1">
      <c r="A121" s="311"/>
      <c r="B121" s="311"/>
      <c r="C121" s="311"/>
      <c r="D121" s="311"/>
      <c r="E121" s="311"/>
      <c r="F121" s="311"/>
      <c r="G121" s="311"/>
      <c r="H121" s="311"/>
      <c r="I121" s="311"/>
      <c r="J121" s="311"/>
      <c r="K121" s="311"/>
      <c r="L121" s="311"/>
      <c r="M121" s="311"/>
      <c r="N121" s="311"/>
      <c r="O121" s="311"/>
      <c r="P121" s="311"/>
      <c r="Q121" s="311"/>
    </row>
    <row r="122" spans="1:61" s="454" customFormat="1" hidden="1" outlineLevel="1"/>
    <row r="123" spans="1:61" s="454" customFormat="1" hidden="1" outlineLevel="1"/>
    <row r="124" spans="1:61" s="454" customFormat="1" hidden="1" outlineLevel="1"/>
    <row r="125" spans="1:61" s="454" customFormat="1" hidden="1" outlineLevel="1"/>
    <row r="126" spans="1:61" s="454" customFormat="1" hidden="1" outlineLevel="1"/>
    <row r="127" spans="1:61" s="454" customFormat="1" hidden="1" outlineLevel="1"/>
    <row r="128" spans="1:61" s="454" customFormat="1" hidden="1" outlineLevel="1"/>
    <row r="129" spans="1:22" s="454" customFormat="1" hidden="1" outlineLevel="1"/>
    <row r="130" spans="1:22" s="454" customFormat="1" hidden="1" outlineLevel="1"/>
    <row r="131" spans="1:22" s="454" customFormat="1" hidden="1" outlineLevel="1"/>
    <row r="132" spans="1:22" s="454" customFormat="1" hidden="1" outlineLevel="1"/>
    <row r="133" spans="1:22" s="454" customFormat="1" hidden="1" outlineLevel="1"/>
    <row r="134" spans="1:22" s="454" customFormat="1" hidden="1" outlineLevel="1"/>
    <row r="135" spans="1:22" hidden="1" outlineLevel="1">
      <c r="A135" s="1" t="s">
        <v>277</v>
      </c>
      <c r="B135" s="311"/>
      <c r="C135" s="311"/>
      <c r="D135" s="311"/>
      <c r="E135" s="311"/>
      <c r="F135" s="311"/>
      <c r="G135" s="311"/>
      <c r="H135" s="311"/>
      <c r="I135" s="311"/>
      <c r="J135" s="311"/>
      <c r="K135" s="311"/>
      <c r="L135" s="311"/>
      <c r="M135" s="311"/>
      <c r="N135" s="311"/>
      <c r="O135" s="311"/>
      <c r="P135" s="311"/>
      <c r="Q135" s="311"/>
    </row>
    <row r="136" spans="1:22" ht="18" hidden="1" outlineLevel="1">
      <c r="A136" s="311" t="s">
        <v>420</v>
      </c>
      <c r="B136" s="311"/>
      <c r="C136" s="311"/>
      <c r="D136" s="311"/>
      <c r="E136" s="311"/>
      <c r="F136" s="311"/>
      <c r="G136" s="311"/>
      <c r="H136" s="311"/>
      <c r="I136" s="311"/>
      <c r="J136" s="311"/>
      <c r="K136" s="311"/>
      <c r="L136" s="311"/>
      <c r="M136" s="311"/>
      <c r="N136" s="311"/>
      <c r="O136" s="311"/>
      <c r="P136" s="311"/>
      <c r="Q136" s="311"/>
    </row>
    <row r="137" spans="1:22" ht="18" hidden="1" customHeight="1" outlineLevel="1">
      <c r="A137" s="645" t="s">
        <v>421</v>
      </c>
      <c r="B137" s="645"/>
      <c r="C137" s="645"/>
      <c r="D137" s="645"/>
      <c r="E137" s="645"/>
      <c r="F137" s="645"/>
      <c r="G137" s="645"/>
      <c r="H137" s="645"/>
      <c r="I137" s="645"/>
      <c r="J137" s="645"/>
      <c r="K137" s="645"/>
      <c r="L137" s="645"/>
      <c r="M137" s="645"/>
      <c r="N137" s="645"/>
      <c r="O137" s="645"/>
      <c r="P137" s="645"/>
      <c r="Q137" s="645"/>
      <c r="R137" s="645"/>
      <c r="S137" s="645"/>
      <c r="T137" s="645"/>
      <c r="U137" s="645"/>
      <c r="V137" s="645"/>
    </row>
    <row r="138" spans="1:22" s="454" customFormat="1" hidden="1" outlineLevel="1">
      <c r="A138" s="645"/>
      <c r="B138" s="645"/>
      <c r="C138" s="645"/>
      <c r="D138" s="645"/>
      <c r="E138" s="645"/>
      <c r="F138" s="645"/>
      <c r="G138" s="645"/>
      <c r="H138" s="645"/>
      <c r="I138" s="645"/>
      <c r="J138" s="645"/>
      <c r="K138" s="645"/>
      <c r="L138" s="645"/>
      <c r="M138" s="645"/>
      <c r="N138" s="645"/>
      <c r="O138" s="645"/>
      <c r="P138" s="645"/>
      <c r="Q138" s="645"/>
      <c r="R138" s="645"/>
      <c r="S138" s="645"/>
      <c r="T138" s="645"/>
      <c r="U138" s="645"/>
      <c r="V138" s="645"/>
    </row>
    <row r="139" spans="1:22" hidden="1" outlineLevel="1">
      <c r="A139" s="376"/>
      <c r="B139" s="311"/>
      <c r="C139" s="311"/>
      <c r="D139" s="311"/>
      <c r="E139" s="311"/>
      <c r="F139" s="311"/>
      <c r="G139" s="311"/>
      <c r="H139" s="311"/>
      <c r="I139" s="311"/>
      <c r="J139" s="311"/>
      <c r="K139" s="311"/>
      <c r="L139" s="311"/>
      <c r="M139" s="311"/>
      <c r="N139" s="311"/>
      <c r="O139" s="311"/>
      <c r="P139" s="311"/>
      <c r="Q139" s="311"/>
    </row>
    <row r="140" spans="1:22" s="446" customFormat="1" hidden="1" outlineLevel="1">
      <c r="A140" s="189" t="s">
        <v>278</v>
      </c>
      <c r="B140" s="178"/>
      <c r="C140" s="178"/>
      <c r="D140" s="178"/>
      <c r="E140" s="178"/>
      <c r="F140" s="178"/>
      <c r="G140" s="178"/>
      <c r="H140" s="178"/>
      <c r="I140" s="178"/>
      <c r="J140" s="178"/>
      <c r="K140" s="178"/>
      <c r="L140" s="178"/>
      <c r="M140" s="178"/>
      <c r="N140" s="178"/>
      <c r="O140" s="178"/>
      <c r="P140" s="178"/>
      <c r="Q140" s="178"/>
    </row>
    <row r="141" spans="1:22" s="446" customFormat="1" ht="15.75" hidden="1" outlineLevel="1" thickBot="1">
      <c r="A141" s="457" t="s">
        <v>271</v>
      </c>
      <c r="B141" s="458" t="s">
        <v>231</v>
      </c>
      <c r="C141" s="458"/>
      <c r="D141" s="458"/>
      <c r="E141" s="458"/>
      <c r="F141" s="458"/>
      <c r="G141" s="458"/>
      <c r="H141" s="458"/>
      <c r="I141" s="458"/>
      <c r="J141" s="458"/>
      <c r="K141" s="458"/>
      <c r="L141" s="458"/>
      <c r="M141" s="458"/>
      <c r="N141" s="458"/>
      <c r="O141" s="458"/>
      <c r="P141" s="458">
        <v>2010</v>
      </c>
      <c r="Q141" s="458">
        <v>2019</v>
      </c>
    </row>
    <row r="142" spans="1:22" s="446" customFormat="1" ht="48" hidden="1" outlineLevel="1">
      <c r="A142" s="465" t="s">
        <v>279</v>
      </c>
      <c r="B142" s="466" t="s">
        <v>272</v>
      </c>
      <c r="C142" s="467"/>
      <c r="D142" s="467"/>
      <c r="E142" s="467"/>
      <c r="F142" s="467"/>
      <c r="G142" s="467"/>
      <c r="H142" s="467"/>
      <c r="I142" s="467"/>
      <c r="J142" s="467"/>
      <c r="K142" s="467"/>
      <c r="L142" s="467"/>
      <c r="M142" s="467"/>
      <c r="N142" s="467"/>
      <c r="O142" s="467"/>
      <c r="P142" s="468">
        <v>812</v>
      </c>
      <c r="Q142" s="468">
        <v>719</v>
      </c>
    </row>
    <row r="143" spans="1:22" s="446" customFormat="1" hidden="1" outlineLevel="1">
      <c r="A143" s="35" t="s">
        <v>431</v>
      </c>
    </row>
    <row r="144" spans="1:22" s="446" customFormat="1" hidden="1" outlineLevel="1">
      <c r="A144" s="35" t="s">
        <v>430</v>
      </c>
    </row>
    <row r="145" spans="1:20" s="446" customFormat="1" hidden="1" outlineLevel="1"/>
    <row r="146" spans="1:20" s="446" customFormat="1" hidden="1" outlineLevel="1">
      <c r="A146" s="456" t="s">
        <v>273</v>
      </c>
      <c r="B146" s="178"/>
      <c r="C146" s="178"/>
      <c r="D146" s="178"/>
      <c r="E146" s="178"/>
      <c r="F146" s="178"/>
      <c r="G146" s="178"/>
      <c r="H146" s="178"/>
      <c r="I146" s="178"/>
      <c r="J146" s="178"/>
      <c r="K146" s="178"/>
      <c r="L146" s="178"/>
      <c r="M146" s="178"/>
      <c r="N146" s="178"/>
      <c r="O146" s="178"/>
      <c r="P146" s="178"/>
      <c r="Q146" s="178"/>
      <c r="R146" s="178"/>
    </row>
    <row r="147" spans="1:20" s="446" customFormat="1" ht="15.75" hidden="1" outlineLevel="1" thickBot="1">
      <c r="A147" s="457" t="s">
        <v>271</v>
      </c>
      <c r="B147" s="458" t="s">
        <v>231</v>
      </c>
      <c r="C147" s="458"/>
      <c r="D147" s="458"/>
      <c r="E147" s="458"/>
      <c r="F147" s="458"/>
      <c r="G147" s="458"/>
      <c r="H147" s="458"/>
      <c r="I147" s="458"/>
      <c r="J147" s="458"/>
      <c r="K147" s="458"/>
      <c r="L147" s="458"/>
      <c r="M147" s="458"/>
      <c r="N147" s="458"/>
      <c r="O147" s="458"/>
      <c r="P147" s="458">
        <v>2010</v>
      </c>
      <c r="Q147" s="458">
        <v>2019</v>
      </c>
      <c r="R147" s="458">
        <v>2020</v>
      </c>
    </row>
    <row r="148" spans="1:20" s="446" customFormat="1" ht="30" hidden="1" outlineLevel="1">
      <c r="A148" s="447" t="s">
        <v>422</v>
      </c>
      <c r="B148" s="178" t="s">
        <v>274</v>
      </c>
      <c r="C148" s="438"/>
      <c r="D148" s="438"/>
      <c r="E148" s="438"/>
      <c r="F148" s="438"/>
      <c r="G148" s="438"/>
      <c r="H148" s="438"/>
      <c r="I148" s="438"/>
      <c r="J148" s="438"/>
      <c r="K148" s="438"/>
      <c r="L148" s="438"/>
      <c r="M148" s="438"/>
      <c r="N148" s="438"/>
      <c r="O148" s="438"/>
      <c r="P148" s="438">
        <v>156342</v>
      </c>
      <c r="Q148" s="438">
        <v>158767</v>
      </c>
      <c r="R148" s="438">
        <v>152308</v>
      </c>
    </row>
    <row r="149" spans="1:20" s="446" customFormat="1" hidden="1" outlineLevel="1">
      <c r="A149" s="447" t="s">
        <v>423</v>
      </c>
      <c r="B149" s="178"/>
      <c r="C149" s="178"/>
      <c r="D149" s="178"/>
      <c r="E149" s="178"/>
      <c r="F149" s="178"/>
      <c r="G149" s="178"/>
      <c r="H149" s="178"/>
      <c r="I149" s="178"/>
      <c r="J149" s="178"/>
      <c r="K149" s="178"/>
      <c r="L149" s="178"/>
      <c r="M149" s="178"/>
      <c r="N149" s="178"/>
      <c r="O149" s="178"/>
      <c r="P149" s="438"/>
      <c r="Q149" s="438"/>
      <c r="R149" s="438"/>
    </row>
    <row r="150" spans="1:20" s="446" customFormat="1" hidden="1" outlineLevel="1">
      <c r="A150" s="459" t="s">
        <v>424</v>
      </c>
      <c r="B150" s="178" t="s">
        <v>274</v>
      </c>
      <c r="C150" s="438"/>
      <c r="D150" s="438"/>
      <c r="E150" s="438"/>
      <c r="F150" s="438"/>
      <c r="G150" s="438"/>
      <c r="H150" s="438"/>
      <c r="I150" s="438"/>
      <c r="J150" s="438"/>
      <c r="K150" s="438"/>
      <c r="L150" s="438"/>
      <c r="M150" s="438"/>
      <c r="N150" s="438"/>
      <c r="O150" s="438"/>
      <c r="P150" s="438">
        <v>89212</v>
      </c>
      <c r="Q150" s="438">
        <v>78190</v>
      </c>
      <c r="R150" s="438">
        <v>71546</v>
      </c>
    </row>
    <row r="151" spans="1:20" s="446" customFormat="1" hidden="1" outlineLevel="1">
      <c r="A151" s="459" t="s">
        <v>425</v>
      </c>
      <c r="B151" s="178" t="s">
        <v>274</v>
      </c>
      <c r="C151" s="438"/>
      <c r="D151" s="438"/>
      <c r="E151" s="438"/>
      <c r="F151" s="438"/>
      <c r="G151" s="438"/>
      <c r="H151" s="438"/>
      <c r="I151" s="438"/>
      <c r="J151" s="438"/>
      <c r="K151" s="438"/>
      <c r="L151" s="438"/>
      <c r="M151" s="438"/>
      <c r="N151" s="438"/>
      <c r="O151" s="438"/>
      <c r="P151" s="438">
        <v>49460</v>
      </c>
      <c r="Q151" s="438">
        <v>41502</v>
      </c>
      <c r="R151" s="438">
        <v>37969</v>
      </c>
    </row>
    <row r="152" spans="1:20" s="446" customFormat="1" ht="30" hidden="1" outlineLevel="1">
      <c r="A152" s="460" t="s">
        <v>426</v>
      </c>
      <c r="B152" s="461" t="s">
        <v>275</v>
      </c>
      <c r="C152" s="461"/>
      <c r="D152" s="461"/>
      <c r="E152" s="461"/>
      <c r="F152" s="461"/>
      <c r="G152" s="461"/>
      <c r="H152" s="461"/>
      <c r="I152" s="461"/>
      <c r="J152" s="461"/>
      <c r="K152" s="461"/>
      <c r="L152" s="461"/>
      <c r="M152" s="461"/>
      <c r="N152" s="461"/>
      <c r="O152" s="461"/>
      <c r="P152" s="462">
        <f>(P150+P151)/P148</f>
        <v>0.8869785470315078</v>
      </c>
      <c r="Q152" s="462">
        <f>(Q150+Q151)/Q148</f>
        <v>0.75388462337891371</v>
      </c>
      <c r="R152" s="462">
        <f>(R150+R151)/R148</f>
        <v>0.71903642618903796</v>
      </c>
    </row>
    <row r="153" spans="1:20" s="446" customFormat="1" hidden="1" outlineLevel="1">
      <c r="A153" s="463" t="s">
        <v>427</v>
      </c>
      <c r="B153" s="178"/>
      <c r="C153" s="178"/>
      <c r="D153" s="178"/>
      <c r="E153" s="178"/>
      <c r="F153" s="178"/>
      <c r="G153" s="178"/>
      <c r="H153" s="178"/>
      <c r="I153" s="178"/>
      <c r="J153" s="178"/>
      <c r="K153" s="178"/>
      <c r="L153" s="178"/>
      <c r="M153" s="178"/>
      <c r="N153" s="178"/>
      <c r="O153" s="178"/>
      <c r="P153" s="178"/>
      <c r="Q153" s="178"/>
      <c r="R153" s="178"/>
    </row>
    <row r="154" spans="1:20" s="446" customFormat="1" hidden="1" outlineLevel="1">
      <c r="A154" s="463" t="s">
        <v>428</v>
      </c>
      <c r="B154" s="178"/>
      <c r="C154" s="178"/>
      <c r="D154" s="178"/>
      <c r="E154" s="178"/>
      <c r="F154" s="178"/>
      <c r="G154" s="178"/>
      <c r="H154" s="178"/>
      <c r="I154" s="178"/>
      <c r="J154" s="178"/>
      <c r="K154" s="178"/>
      <c r="L154" s="178"/>
      <c r="M154" s="178"/>
      <c r="N154" s="178"/>
      <c r="O154" s="178"/>
      <c r="P154" s="178"/>
      <c r="Q154" s="178"/>
      <c r="R154" s="178"/>
    </row>
    <row r="155" spans="1:20" s="446" customFormat="1" hidden="1" outlineLevel="1">
      <c r="A155" s="463" t="s">
        <v>429</v>
      </c>
      <c r="B155" s="178"/>
      <c r="C155" s="178"/>
      <c r="D155" s="178"/>
      <c r="E155" s="178"/>
      <c r="F155" s="178"/>
      <c r="G155" s="178"/>
      <c r="H155" s="178"/>
      <c r="I155" s="178"/>
      <c r="J155" s="178"/>
      <c r="K155" s="178"/>
      <c r="L155" s="178"/>
      <c r="M155" s="178"/>
      <c r="N155" s="178"/>
      <c r="O155" s="178"/>
      <c r="P155" s="178"/>
      <c r="Q155" s="178"/>
      <c r="R155" s="178"/>
    </row>
    <row r="156" spans="1:20" s="446" customFormat="1" hidden="1" outlineLevel="1"/>
    <row r="157" spans="1:20" s="446" customFormat="1" ht="48" hidden="1" outlineLevel="1">
      <c r="A157" s="447" t="s">
        <v>432</v>
      </c>
      <c r="B157" s="178"/>
      <c r="C157" s="438"/>
      <c r="D157" s="438"/>
      <c r="E157" s="438"/>
      <c r="F157" s="438"/>
      <c r="G157" s="438"/>
      <c r="H157" s="438"/>
      <c r="I157" s="438"/>
      <c r="J157" s="438"/>
      <c r="K157" s="438"/>
      <c r="L157" s="438"/>
      <c r="M157" s="438"/>
      <c r="N157" s="438"/>
      <c r="O157" s="438"/>
      <c r="P157" s="438"/>
      <c r="Q157" s="455">
        <f>Q159/Q158</f>
        <v>0.76327635130202609</v>
      </c>
    </row>
    <row r="158" spans="1:20" s="446" customFormat="1" ht="45" hidden="1" outlineLevel="1">
      <c r="A158" s="447" t="s">
        <v>433</v>
      </c>
      <c r="B158" s="178"/>
      <c r="C158" s="438"/>
      <c r="D158" s="438"/>
      <c r="E158" s="438"/>
      <c r="F158" s="438"/>
      <c r="G158" s="438"/>
      <c r="H158" s="438"/>
      <c r="I158" s="438"/>
      <c r="J158" s="438"/>
      <c r="K158" s="438"/>
      <c r="L158" s="438"/>
      <c r="M158" s="438"/>
      <c r="N158" s="438"/>
      <c r="O158" s="438"/>
      <c r="P158" s="438"/>
      <c r="Q158" s="464">
        <f>(Q152-P152)/P152</f>
        <v>-0.15005314852092611</v>
      </c>
    </row>
    <row r="159" spans="1:20" s="446" customFormat="1" ht="33" hidden="1" outlineLevel="1">
      <c r="A159" s="447" t="s">
        <v>434</v>
      </c>
      <c r="B159" s="178"/>
      <c r="C159" s="438"/>
      <c r="D159" s="438"/>
      <c r="E159" s="438"/>
      <c r="F159" s="438"/>
      <c r="G159" s="438"/>
      <c r="H159" s="438"/>
      <c r="I159" s="438"/>
      <c r="J159" s="438"/>
      <c r="K159" s="438"/>
      <c r="L159" s="438"/>
      <c r="M159" s="438"/>
      <c r="N159" s="438"/>
      <c r="O159" s="438"/>
      <c r="P159" s="438"/>
      <c r="Q159" s="464">
        <f>(Q142-P142)/P142</f>
        <v>-0.1145320197044335</v>
      </c>
      <c r="R159"/>
      <c r="S159"/>
      <c r="T159"/>
    </row>
    <row r="160" spans="1:20" s="446" customFormat="1" hidden="1" outlineLevel="1">
      <c r="P160"/>
      <c r="Q160"/>
      <c r="R160"/>
      <c r="S160"/>
      <c r="T160"/>
    </row>
    <row r="161" spans="1:20" s="446" customFormat="1" hidden="1" outlineLevel="1">
      <c r="A161" s="456" t="s">
        <v>435</v>
      </c>
      <c r="B161" s="178"/>
      <c r="C161" s="178"/>
      <c r="D161" s="178"/>
      <c r="E161" s="178"/>
      <c r="F161" s="178"/>
      <c r="G161" s="178"/>
      <c r="H161" s="178"/>
      <c r="I161" s="178"/>
      <c r="J161" s="178"/>
      <c r="K161" s="178"/>
      <c r="L161" s="178"/>
      <c r="M161" s="178"/>
      <c r="N161" s="178"/>
      <c r="O161" s="178"/>
      <c r="P161" s="178"/>
      <c r="Q161" s="178"/>
      <c r="R161" s="178"/>
      <c r="S161" s="178"/>
      <c r="T161" s="178"/>
    </row>
    <row r="162" spans="1:20" s="446" customFormat="1" ht="15.75" hidden="1" outlineLevel="1" thickBot="1">
      <c r="A162" s="457" t="s">
        <v>271</v>
      </c>
      <c r="B162" s="458"/>
      <c r="C162" s="458"/>
      <c r="D162" s="458"/>
      <c r="E162" s="458"/>
      <c r="F162" s="458"/>
      <c r="G162" s="458"/>
      <c r="H162" s="458"/>
      <c r="I162" s="458"/>
      <c r="J162" s="458"/>
      <c r="K162" s="458"/>
      <c r="L162" s="458"/>
      <c r="M162" s="458"/>
      <c r="N162" s="458"/>
      <c r="O162" s="458"/>
      <c r="P162" s="458">
        <v>2020</v>
      </c>
      <c r="Q162" s="458">
        <v>2025</v>
      </c>
      <c r="R162" s="458">
        <v>2030</v>
      </c>
      <c r="S162" s="458">
        <v>2035</v>
      </c>
      <c r="T162" s="458">
        <v>2040</v>
      </c>
    </row>
    <row r="163" spans="1:20" s="446" customFormat="1" ht="30" hidden="1" outlineLevel="1">
      <c r="A163" s="447" t="s">
        <v>422</v>
      </c>
      <c r="B163" s="178" t="s">
        <v>276</v>
      </c>
      <c r="C163" s="142"/>
      <c r="D163" s="142"/>
      <c r="E163" s="142"/>
      <c r="F163" s="142"/>
      <c r="G163" s="142"/>
      <c r="H163" s="142"/>
      <c r="I163" s="142"/>
      <c r="J163" s="142"/>
      <c r="K163" s="142"/>
      <c r="L163" s="142"/>
      <c r="M163" s="142"/>
      <c r="N163" s="142"/>
      <c r="O163" s="142"/>
      <c r="P163" s="142">
        <v>176.7</v>
      </c>
      <c r="Q163" s="142">
        <v>187.9</v>
      </c>
      <c r="R163" s="142">
        <v>201.2</v>
      </c>
      <c r="S163" s="142">
        <v>212.7</v>
      </c>
      <c r="T163" s="142">
        <v>225.8</v>
      </c>
    </row>
    <row r="164" spans="1:20" s="446" customFormat="1" hidden="1" outlineLevel="1">
      <c r="A164" s="447" t="s">
        <v>423</v>
      </c>
      <c r="B164" s="178"/>
      <c r="C164" s="178"/>
      <c r="D164" s="178"/>
      <c r="E164" s="178"/>
      <c r="F164" s="178"/>
      <c r="G164" s="178"/>
      <c r="H164" s="178"/>
      <c r="I164" s="178"/>
      <c r="J164" s="178"/>
      <c r="K164" s="178"/>
      <c r="L164" s="178"/>
      <c r="M164" s="178"/>
      <c r="N164" s="178"/>
      <c r="O164" s="178"/>
      <c r="P164" s="438"/>
      <c r="Q164" s="438"/>
      <c r="R164" s="438"/>
      <c r="S164" s="438"/>
      <c r="T164" s="438"/>
    </row>
    <row r="165" spans="1:20" s="446" customFormat="1" hidden="1" outlineLevel="1">
      <c r="A165" s="459" t="s">
        <v>424</v>
      </c>
      <c r="B165" s="178" t="s">
        <v>276</v>
      </c>
      <c r="C165" s="142"/>
      <c r="D165" s="142"/>
      <c r="E165" s="142"/>
      <c r="F165" s="142"/>
      <c r="G165" s="142"/>
      <c r="H165" s="142"/>
      <c r="I165" s="142"/>
      <c r="J165" s="142"/>
      <c r="K165" s="142"/>
      <c r="L165" s="142"/>
      <c r="M165" s="142"/>
      <c r="N165" s="142"/>
      <c r="O165" s="142"/>
      <c r="P165" s="142">
        <v>47</v>
      </c>
      <c r="Q165" s="142">
        <v>50.4</v>
      </c>
      <c r="R165" s="142">
        <v>49.9</v>
      </c>
      <c r="S165" s="142">
        <v>27.5</v>
      </c>
      <c r="T165" s="142">
        <v>17.3</v>
      </c>
    </row>
    <row r="166" spans="1:20" s="446" customFormat="1" hidden="1" outlineLevel="1">
      <c r="A166" s="459" t="s">
        <v>425</v>
      </c>
      <c r="B166" s="178" t="s">
        <v>276</v>
      </c>
      <c r="C166" s="142"/>
      <c r="D166" s="142"/>
      <c r="E166" s="142"/>
      <c r="F166" s="142"/>
      <c r="G166" s="142"/>
      <c r="H166" s="142"/>
      <c r="I166" s="142"/>
      <c r="J166" s="142"/>
      <c r="K166" s="142"/>
      <c r="L166" s="142"/>
      <c r="M166" s="142"/>
      <c r="N166" s="142"/>
      <c r="O166" s="142"/>
      <c r="P166" s="142">
        <v>75.400000000000006</v>
      </c>
      <c r="Q166" s="142">
        <v>72.3</v>
      </c>
      <c r="R166" s="142">
        <v>63.1</v>
      </c>
      <c r="S166" s="142">
        <v>53.2</v>
      </c>
      <c r="T166" s="142">
        <v>45.7</v>
      </c>
    </row>
    <row r="167" spans="1:20" s="446" customFormat="1" ht="30" hidden="1" outlineLevel="1">
      <c r="A167" s="460" t="s">
        <v>426</v>
      </c>
      <c r="B167" s="461" t="s">
        <v>275</v>
      </c>
      <c r="C167" s="461"/>
      <c r="D167" s="461"/>
      <c r="E167" s="461"/>
      <c r="F167" s="461"/>
      <c r="G167" s="461"/>
      <c r="H167" s="461"/>
      <c r="I167" s="461"/>
      <c r="J167" s="461"/>
      <c r="K167" s="461"/>
      <c r="L167" s="461"/>
      <c r="M167" s="461"/>
      <c r="N167" s="461"/>
      <c r="O167" s="461"/>
      <c r="P167" s="462">
        <f t="shared" ref="P167:T167" si="72">(P165+P166)/P163</f>
        <v>0.69269949066213932</v>
      </c>
      <c r="Q167" s="462">
        <f t="shared" si="72"/>
        <v>0.65300691857370929</v>
      </c>
      <c r="R167" s="462">
        <f t="shared" si="72"/>
        <v>0.56163021868787277</v>
      </c>
      <c r="S167" s="462">
        <f t="shared" si="72"/>
        <v>0.37940761636107195</v>
      </c>
      <c r="T167" s="462">
        <f t="shared" si="72"/>
        <v>0.27900797165633301</v>
      </c>
    </row>
    <row r="168" spans="1:20" s="446" customFormat="1" hidden="1" outlineLevel="1">
      <c r="A168" s="463" t="s">
        <v>436</v>
      </c>
      <c r="B168" s="178"/>
      <c r="C168" s="178"/>
      <c r="D168" s="178"/>
      <c r="E168" s="178"/>
      <c r="F168" s="178"/>
      <c r="G168" s="178"/>
      <c r="H168" s="178"/>
      <c r="I168" s="178"/>
      <c r="J168" s="178"/>
      <c r="K168" s="178"/>
      <c r="L168" s="178"/>
      <c r="M168" s="178"/>
      <c r="N168" s="178"/>
      <c r="O168" s="178"/>
      <c r="P168" s="178"/>
      <c r="Q168" s="178"/>
      <c r="R168" s="178"/>
      <c r="S168" s="178"/>
      <c r="T168" s="178"/>
    </row>
    <row r="169" spans="1:20" s="446" customFormat="1" hidden="1" outlineLevel="1">
      <c r="R169"/>
      <c r="S169"/>
      <c r="T169"/>
    </row>
    <row r="170" spans="1:20" s="446" customFormat="1" ht="18" hidden="1" outlineLevel="1">
      <c r="A170" s="456" t="s">
        <v>437</v>
      </c>
      <c r="B170" s="178"/>
      <c r="C170" s="178"/>
      <c r="D170" s="178"/>
      <c r="E170" s="178"/>
      <c r="F170" s="178"/>
      <c r="G170" s="178"/>
      <c r="H170" s="178"/>
      <c r="I170" s="178"/>
      <c r="J170" s="178"/>
      <c r="K170" s="178"/>
      <c r="L170" s="178"/>
      <c r="M170" s="178"/>
      <c r="N170" s="178"/>
      <c r="O170" s="178"/>
      <c r="P170" s="178"/>
      <c r="Q170" s="178"/>
      <c r="R170" s="178"/>
      <c r="S170" s="178"/>
      <c r="T170" s="178"/>
    </row>
    <row r="171" spans="1:20" s="446" customFormat="1" ht="15.75" hidden="1" outlineLevel="1" thickBot="1">
      <c r="A171" s="457" t="s">
        <v>271</v>
      </c>
      <c r="B171" s="458"/>
      <c r="C171" s="458"/>
      <c r="D171" s="458"/>
      <c r="E171" s="458"/>
      <c r="F171" s="458"/>
      <c r="G171" s="458"/>
      <c r="H171" s="458"/>
      <c r="I171" s="458"/>
      <c r="J171" s="458"/>
      <c r="K171" s="458"/>
      <c r="L171" s="458"/>
      <c r="M171" s="458"/>
      <c r="N171" s="458"/>
      <c r="O171" s="458"/>
      <c r="P171" s="458">
        <v>2020</v>
      </c>
      <c r="Q171" s="458">
        <v>2025</v>
      </c>
      <c r="R171" s="458">
        <v>2030</v>
      </c>
      <c r="S171" s="458">
        <v>2035</v>
      </c>
      <c r="T171" s="458">
        <v>2040</v>
      </c>
    </row>
    <row r="172" spans="1:20" s="446" customFormat="1" ht="45" hidden="1" outlineLevel="1">
      <c r="A172" s="469" t="s">
        <v>438</v>
      </c>
      <c r="B172" s="470"/>
      <c r="C172" s="470"/>
      <c r="D172" s="470"/>
      <c r="E172" s="470"/>
      <c r="F172" s="470"/>
      <c r="G172" s="470"/>
      <c r="H172" s="470"/>
      <c r="I172" s="470"/>
      <c r="J172" s="470"/>
      <c r="K172" s="470"/>
      <c r="L172" s="470"/>
      <c r="M172" s="470"/>
      <c r="N172" s="470"/>
      <c r="O172" s="470"/>
      <c r="P172" s="470">
        <f>(P167-$Q$152)/$Q$152</f>
        <v>-8.1159809895766807E-2</v>
      </c>
      <c r="Q172" s="470">
        <f>(Q167-$Q$152)/$Q$152</f>
        <v>-0.13381053502997603</v>
      </c>
      <c r="R172" s="470">
        <f t="shared" ref="R172:T172" si="73">(R167-$Q$152)/$Q$152</f>
        <v>-0.25501833931743556</v>
      </c>
      <c r="S172" s="470">
        <f t="shared" si="73"/>
        <v>-0.49672986476290548</v>
      </c>
      <c r="T172" s="470">
        <f t="shared" si="73"/>
        <v>-0.62990627079536621</v>
      </c>
    </row>
    <row r="173" spans="1:20" s="446" customFormat="1" ht="33" hidden="1" outlineLevel="1">
      <c r="A173" s="471" t="s">
        <v>439</v>
      </c>
      <c r="B173" s="472"/>
      <c r="C173" s="472"/>
      <c r="D173" s="472"/>
      <c r="E173" s="472"/>
      <c r="F173" s="472"/>
      <c r="G173" s="472"/>
      <c r="H173" s="472"/>
      <c r="I173" s="472"/>
      <c r="J173" s="472"/>
      <c r="K173" s="472"/>
      <c r="L173" s="472"/>
      <c r="M173" s="472"/>
      <c r="N173" s="472"/>
      <c r="O173" s="472"/>
      <c r="P173" s="472">
        <f>P172*$Q$157</f>
        <v>-6.1947363569606957E-2</v>
      </c>
      <c r="Q173" s="472">
        <f>Q172*$Q$157</f>
        <v>-0.10213441694345206</v>
      </c>
      <c r="R173" s="472">
        <f t="shared" ref="R173:T173" si="74">R172*$Q$157</f>
        <v>-0.19464946754931423</v>
      </c>
      <c r="S173" s="472">
        <f t="shared" si="74"/>
        <v>-0.37914215875897933</v>
      </c>
      <c r="T173" s="472">
        <f t="shared" si="74"/>
        <v>-0.48079256003495313</v>
      </c>
    </row>
    <row r="174" spans="1:20" s="446" customFormat="1" ht="33" hidden="1" outlineLevel="1">
      <c r="A174" s="473" t="s">
        <v>440</v>
      </c>
      <c r="B174" s="474"/>
      <c r="C174" s="474"/>
      <c r="D174" s="474"/>
      <c r="E174" s="474"/>
      <c r="F174" s="474"/>
      <c r="G174" s="474"/>
      <c r="H174" s="474"/>
      <c r="I174" s="474"/>
      <c r="J174" s="474"/>
      <c r="K174" s="474"/>
      <c r="L174" s="474"/>
      <c r="M174" s="474"/>
      <c r="N174" s="474"/>
      <c r="O174" s="474"/>
      <c r="P174" s="474">
        <f>100%+P173</f>
        <v>0.93805263643039305</v>
      </c>
      <c r="Q174" s="474">
        <f>100%+Q173</f>
        <v>0.89786558305654796</v>
      </c>
      <c r="R174" s="474">
        <f t="shared" ref="R174:T174" si="75">100%+R173</f>
        <v>0.80535053245068577</v>
      </c>
      <c r="S174" s="474">
        <f t="shared" si="75"/>
        <v>0.62085784124102061</v>
      </c>
      <c r="T174" s="474">
        <f t="shared" si="75"/>
        <v>0.51920743996504681</v>
      </c>
    </row>
    <row r="175" spans="1:20" s="446" customFormat="1" hidden="1" outlineLevel="1"/>
    <row r="176" spans="1:20" s="446" customFormat="1" ht="18" hidden="1" outlineLevel="1">
      <c r="A176" s="189" t="s">
        <v>441</v>
      </c>
    </row>
    <row r="177" spans="1:61" s="446" customFormat="1" hidden="1" outlineLevel="1">
      <c r="A177" s="450"/>
      <c r="B177" s="451"/>
      <c r="C177" s="451"/>
      <c r="D177" s="451"/>
      <c r="E177" s="451"/>
      <c r="F177" s="451"/>
      <c r="G177" s="451"/>
      <c r="H177" s="451"/>
      <c r="I177" s="451"/>
      <c r="J177" s="451"/>
      <c r="K177" s="451"/>
      <c r="L177" s="451"/>
      <c r="M177" s="451"/>
      <c r="N177" s="451"/>
      <c r="O177" s="451"/>
      <c r="P177" s="450"/>
      <c r="Q177" s="450"/>
      <c r="R177" s="450"/>
      <c r="S177" s="450">
        <v>2019</v>
      </c>
      <c r="T177" s="450">
        <f>S177+1</f>
        <v>2020</v>
      </c>
      <c r="U177" s="450">
        <f t="shared" ref="U177:BI177" si="76">T177+1</f>
        <v>2021</v>
      </c>
      <c r="V177" s="450">
        <f t="shared" si="76"/>
        <v>2022</v>
      </c>
      <c r="W177" s="450">
        <f t="shared" si="76"/>
        <v>2023</v>
      </c>
      <c r="X177" s="450">
        <f t="shared" si="76"/>
        <v>2024</v>
      </c>
      <c r="Y177" s="450">
        <f t="shared" si="76"/>
        <v>2025</v>
      </c>
      <c r="Z177" s="450">
        <f t="shared" si="76"/>
        <v>2026</v>
      </c>
      <c r="AA177" s="450">
        <f t="shared" si="76"/>
        <v>2027</v>
      </c>
      <c r="AB177" s="450">
        <f t="shared" si="76"/>
        <v>2028</v>
      </c>
      <c r="AC177" s="450">
        <f t="shared" si="76"/>
        <v>2029</v>
      </c>
      <c r="AD177" s="450">
        <f t="shared" si="76"/>
        <v>2030</v>
      </c>
      <c r="AE177" s="450">
        <f t="shared" si="76"/>
        <v>2031</v>
      </c>
      <c r="AF177" s="450">
        <f t="shared" si="76"/>
        <v>2032</v>
      </c>
      <c r="AG177" s="450">
        <f t="shared" si="76"/>
        <v>2033</v>
      </c>
      <c r="AH177" s="450">
        <f t="shared" si="76"/>
        <v>2034</v>
      </c>
      <c r="AI177" s="450">
        <f t="shared" si="76"/>
        <v>2035</v>
      </c>
      <c r="AJ177" s="450">
        <f t="shared" si="76"/>
        <v>2036</v>
      </c>
      <c r="AK177" s="450">
        <f t="shared" si="76"/>
        <v>2037</v>
      </c>
      <c r="AL177" s="450">
        <f t="shared" si="76"/>
        <v>2038</v>
      </c>
      <c r="AM177" s="450">
        <f t="shared" si="76"/>
        <v>2039</v>
      </c>
      <c r="AN177" s="450">
        <f t="shared" si="76"/>
        <v>2040</v>
      </c>
      <c r="AO177" s="450">
        <f t="shared" si="76"/>
        <v>2041</v>
      </c>
      <c r="AP177" s="450">
        <f t="shared" si="76"/>
        <v>2042</v>
      </c>
      <c r="AQ177" s="450">
        <f t="shared" si="76"/>
        <v>2043</v>
      </c>
      <c r="AR177" s="450">
        <f t="shared" si="76"/>
        <v>2044</v>
      </c>
      <c r="AS177" s="450">
        <f t="shared" si="76"/>
        <v>2045</v>
      </c>
      <c r="AT177" s="450">
        <f t="shared" si="76"/>
        <v>2046</v>
      </c>
      <c r="AU177" s="450">
        <f t="shared" si="76"/>
        <v>2047</v>
      </c>
      <c r="AV177" s="450">
        <f t="shared" si="76"/>
        <v>2048</v>
      </c>
      <c r="AW177" s="450">
        <f t="shared" si="76"/>
        <v>2049</v>
      </c>
      <c r="AX177" s="450">
        <f t="shared" si="76"/>
        <v>2050</v>
      </c>
      <c r="AY177" s="450">
        <f t="shared" si="76"/>
        <v>2051</v>
      </c>
      <c r="AZ177" s="450">
        <f t="shared" si="76"/>
        <v>2052</v>
      </c>
      <c r="BA177" s="450">
        <f t="shared" si="76"/>
        <v>2053</v>
      </c>
      <c r="BB177" s="450">
        <f t="shared" si="76"/>
        <v>2054</v>
      </c>
      <c r="BC177" s="450">
        <f t="shared" si="76"/>
        <v>2055</v>
      </c>
      <c r="BD177" s="450">
        <f t="shared" si="76"/>
        <v>2056</v>
      </c>
      <c r="BE177" s="450">
        <f t="shared" si="76"/>
        <v>2057</v>
      </c>
      <c r="BF177" s="450">
        <f t="shared" si="76"/>
        <v>2058</v>
      </c>
      <c r="BG177" s="450">
        <f t="shared" si="76"/>
        <v>2059</v>
      </c>
      <c r="BH177" s="450">
        <f t="shared" si="76"/>
        <v>2060</v>
      </c>
      <c r="BI177" s="450">
        <f t="shared" si="76"/>
        <v>2061</v>
      </c>
    </row>
    <row r="178" spans="1:61" s="446" customFormat="1" ht="48" hidden="1" outlineLevel="1">
      <c r="A178" s="475" t="s">
        <v>279</v>
      </c>
      <c r="B178" s="476" t="s">
        <v>238</v>
      </c>
      <c r="C178" s="477"/>
      <c r="D178" s="477"/>
      <c r="E178" s="477"/>
      <c r="F178" s="477"/>
      <c r="G178" s="477"/>
      <c r="H178" s="477"/>
      <c r="I178" s="477"/>
      <c r="J178" s="477"/>
      <c r="K178" s="477"/>
      <c r="L178" s="477"/>
      <c r="M178" s="477"/>
      <c r="N178" s="477"/>
      <c r="O178" s="477"/>
      <c r="P178" s="477"/>
      <c r="Q178" s="477"/>
      <c r="R178" s="477"/>
      <c r="S178" s="478">
        <f>Q142</f>
        <v>719</v>
      </c>
      <c r="T178" s="479">
        <f>$S178*$P$174</f>
        <v>674.45984559345266</v>
      </c>
      <c r="U178" s="477">
        <f>T178+($Y178-$T178)/($Y$177-$T$177)</f>
        <v>668.68094731829376</v>
      </c>
      <c r="V178" s="477">
        <f t="shared" ref="V178:X178" si="77">U178+($Y178-$T178)/($Y$177-$T$177)</f>
        <v>662.90204904313487</v>
      </c>
      <c r="W178" s="477">
        <f t="shared" si="77"/>
        <v>657.12315076797597</v>
      </c>
      <c r="X178" s="477">
        <f t="shared" si="77"/>
        <v>651.34425249281708</v>
      </c>
      <c r="Y178" s="479">
        <f>$S178*$Q$174</f>
        <v>645.56535421765795</v>
      </c>
      <c r="Z178" s="477">
        <f>Y178+($AD178-$Y178)/($AD$177-$Y$177)</f>
        <v>632.26168994053501</v>
      </c>
      <c r="AA178" s="477">
        <f>Z178+($AD178-$Y178)/($AD$177-$Y$177)</f>
        <v>618.95802566341206</v>
      </c>
      <c r="AB178" s="477">
        <f t="shared" ref="AB178:AC178" si="78">AA178+($AD178-$Y178)/($AD$177-$Y$177)</f>
        <v>605.65436138628911</v>
      </c>
      <c r="AC178" s="477">
        <f t="shared" si="78"/>
        <v>592.35069710916616</v>
      </c>
      <c r="AD178" s="479">
        <f>$S178*$R$174</f>
        <v>579.0470328320431</v>
      </c>
      <c r="AE178" s="477">
        <f t="shared" ref="AE178" si="79">AD178+($AI178-$AD178)/($AI$177-$AD$177)</f>
        <v>552.51698383609323</v>
      </c>
      <c r="AF178" s="477">
        <f>AE178+($AI178-$AD178)/($AI$177-$AD$177)</f>
        <v>525.98693484014336</v>
      </c>
      <c r="AG178" s="477">
        <f t="shared" ref="AG178:AH178" si="80">AF178+($AI178-$AD178)/($AI$177-$AD$177)</f>
        <v>499.45688584419349</v>
      </c>
      <c r="AH178" s="477">
        <f t="shared" si="80"/>
        <v>472.92683684824362</v>
      </c>
      <c r="AI178" s="479">
        <f>$S178*$S$174</f>
        <v>446.39678785229381</v>
      </c>
      <c r="AJ178" s="477">
        <f t="shared" ref="AJ178" si="81">AI178+($AN178-$AI178)/($AN$177-$AI$177)</f>
        <v>431.77946014880877</v>
      </c>
      <c r="AK178" s="477">
        <f>AJ178+($AN178-$AI178)/($AN$177-$AI$177)</f>
        <v>417.16213244532372</v>
      </c>
      <c r="AL178" s="477">
        <f t="shared" ref="AL178:AM178" si="82">AK178+($AN178-$AI178)/($AN$177-$AI$177)</f>
        <v>402.54480474183867</v>
      </c>
      <c r="AM178" s="477">
        <f t="shared" si="82"/>
        <v>387.92747703835363</v>
      </c>
      <c r="AN178" s="479">
        <f>$S178*$T$174</f>
        <v>373.31014933486864</v>
      </c>
      <c r="AO178" s="477">
        <f>AN178</f>
        <v>373.31014933486864</v>
      </c>
      <c r="AP178" s="477">
        <f t="shared" ref="AP178:BI178" si="83">AO178</f>
        <v>373.31014933486864</v>
      </c>
      <c r="AQ178" s="477">
        <f t="shared" si="83"/>
        <v>373.31014933486864</v>
      </c>
      <c r="AR178" s="477">
        <f t="shared" si="83"/>
        <v>373.31014933486864</v>
      </c>
      <c r="AS178" s="477">
        <f t="shared" si="83"/>
        <v>373.31014933486864</v>
      </c>
      <c r="AT178" s="477">
        <f t="shared" si="83"/>
        <v>373.31014933486864</v>
      </c>
      <c r="AU178" s="477">
        <f t="shared" si="83"/>
        <v>373.31014933486864</v>
      </c>
      <c r="AV178" s="477">
        <f t="shared" si="83"/>
        <v>373.31014933486864</v>
      </c>
      <c r="AW178" s="477">
        <f t="shared" si="83"/>
        <v>373.31014933486864</v>
      </c>
      <c r="AX178" s="477">
        <f t="shared" si="83"/>
        <v>373.31014933486864</v>
      </c>
      <c r="AY178" s="477">
        <f t="shared" si="83"/>
        <v>373.31014933486864</v>
      </c>
      <c r="AZ178" s="477">
        <f t="shared" si="83"/>
        <v>373.31014933486864</v>
      </c>
      <c r="BA178" s="477">
        <f t="shared" si="83"/>
        <v>373.31014933486864</v>
      </c>
      <c r="BB178" s="477">
        <f t="shared" si="83"/>
        <v>373.31014933486864</v>
      </c>
      <c r="BC178" s="477">
        <f t="shared" si="83"/>
        <v>373.31014933486864</v>
      </c>
      <c r="BD178" s="477">
        <f t="shared" si="83"/>
        <v>373.31014933486864</v>
      </c>
      <c r="BE178" s="477">
        <f t="shared" si="83"/>
        <v>373.31014933486864</v>
      </c>
      <c r="BF178" s="477">
        <f t="shared" si="83"/>
        <v>373.31014933486864</v>
      </c>
      <c r="BG178" s="477">
        <f t="shared" si="83"/>
        <v>373.31014933486864</v>
      </c>
      <c r="BH178" s="477">
        <f t="shared" si="83"/>
        <v>373.31014933486864</v>
      </c>
      <c r="BI178" s="477">
        <f t="shared" si="83"/>
        <v>373.31014933486864</v>
      </c>
    </row>
    <row r="179" spans="1:61" s="454" customFormat="1" hidden="1" outlineLevel="1">
      <c r="A179" s="145" t="s">
        <v>306</v>
      </c>
      <c r="B179" s="480"/>
      <c r="C179" s="480"/>
      <c r="D179" s="480"/>
      <c r="E179" s="480"/>
      <c r="F179" s="480"/>
      <c r="G179" s="480"/>
      <c r="H179" s="480"/>
      <c r="I179" s="480"/>
      <c r="J179" s="480"/>
      <c r="K179" s="480"/>
      <c r="L179" s="480"/>
      <c r="M179" s="480"/>
      <c r="N179" s="480"/>
      <c r="O179" s="480"/>
      <c r="P179" s="480"/>
      <c r="Q179" s="480"/>
      <c r="R179" s="480"/>
      <c r="S179" s="492"/>
      <c r="T179" s="480">
        <f>(T$178-S$178)/S$178</f>
        <v>-6.1947363569606874E-2</v>
      </c>
      <c r="U179" s="480">
        <f t="shared" ref="U179:BI179" si="84">(U$178-T$178)/T$178</f>
        <v>-8.5681872878200505E-3</v>
      </c>
      <c r="V179" s="480">
        <f t="shared" si="84"/>
        <v>-8.6422355808623407E-3</v>
      </c>
      <c r="W179" s="480">
        <f t="shared" si="84"/>
        <v>-8.7175749169887736E-3</v>
      </c>
      <c r="X179" s="480">
        <f t="shared" si="84"/>
        <v>-8.7942393574250589E-3</v>
      </c>
      <c r="Y179" s="480">
        <f t="shared" si="84"/>
        <v>-8.872264172198021E-3</v>
      </c>
      <c r="Z179" s="480">
        <f t="shared" si="84"/>
        <v>-2.0607773001147616E-2</v>
      </c>
      <c r="AA179" s="480">
        <f t="shared" si="84"/>
        <v>-2.1041389172850523E-2</v>
      </c>
      <c r="AB179" s="480">
        <f t="shared" si="84"/>
        <v>-2.1493645328960399E-2</v>
      </c>
      <c r="AC179" s="480">
        <f t="shared" si="84"/>
        <v>-2.1965769794296604E-2</v>
      </c>
      <c r="AD179" s="480">
        <f t="shared" si="84"/>
        <v>-2.2459101241964586E-2</v>
      </c>
      <c r="AE179" s="480">
        <f t="shared" si="84"/>
        <v>-4.5816742840723797E-2</v>
      </c>
      <c r="AF179" s="480">
        <f t="shared" si="84"/>
        <v>-4.8016712195439286E-2</v>
      </c>
      <c r="AG179" s="480">
        <f t="shared" si="84"/>
        <v>-5.0438608335419619E-2</v>
      </c>
      <c r="AH179" s="480">
        <f t="shared" si="84"/>
        <v>-5.3117796045815187E-2</v>
      </c>
      <c r="AI179" s="480">
        <f t="shared" si="84"/>
        <v>-5.6097575626614264E-2</v>
      </c>
      <c r="AJ179" s="480">
        <f t="shared" si="84"/>
        <v>-3.2745145353334636E-2</v>
      </c>
      <c r="AK179" s="480">
        <f t="shared" si="84"/>
        <v>-3.3853689331232478E-2</v>
      </c>
      <c r="AL179" s="480">
        <f t="shared" si="84"/>
        <v>-3.5039919893498236E-2</v>
      </c>
      <c r="AM179" s="480">
        <f t="shared" si="84"/>
        <v>-3.6312299975798913E-2</v>
      </c>
      <c r="AN179" s="480">
        <f t="shared" si="84"/>
        <v>-3.7680568066695112E-2</v>
      </c>
      <c r="AO179" s="480">
        <f t="shared" si="84"/>
        <v>0</v>
      </c>
      <c r="AP179" s="480">
        <f t="shared" si="84"/>
        <v>0</v>
      </c>
      <c r="AQ179" s="480">
        <f t="shared" si="84"/>
        <v>0</v>
      </c>
      <c r="AR179" s="480">
        <f t="shared" si="84"/>
        <v>0</v>
      </c>
      <c r="AS179" s="480">
        <f t="shared" si="84"/>
        <v>0</v>
      </c>
      <c r="AT179" s="480">
        <f t="shared" si="84"/>
        <v>0</v>
      </c>
      <c r="AU179" s="480">
        <f t="shared" si="84"/>
        <v>0</v>
      </c>
      <c r="AV179" s="480">
        <f t="shared" si="84"/>
        <v>0</v>
      </c>
      <c r="AW179" s="480">
        <f t="shared" si="84"/>
        <v>0</v>
      </c>
      <c r="AX179" s="480">
        <f t="shared" si="84"/>
        <v>0</v>
      </c>
      <c r="AY179" s="480">
        <f t="shared" si="84"/>
        <v>0</v>
      </c>
      <c r="AZ179" s="480">
        <f t="shared" si="84"/>
        <v>0</v>
      </c>
      <c r="BA179" s="480">
        <f t="shared" si="84"/>
        <v>0</v>
      </c>
      <c r="BB179" s="480">
        <f t="shared" si="84"/>
        <v>0</v>
      </c>
      <c r="BC179" s="480">
        <f t="shared" si="84"/>
        <v>0</v>
      </c>
      <c r="BD179" s="480">
        <f t="shared" si="84"/>
        <v>0</v>
      </c>
      <c r="BE179" s="480">
        <f t="shared" si="84"/>
        <v>0</v>
      </c>
      <c r="BF179" s="480">
        <f t="shared" si="84"/>
        <v>0</v>
      </c>
      <c r="BG179" s="480">
        <f t="shared" si="84"/>
        <v>0</v>
      </c>
      <c r="BH179" s="480">
        <f t="shared" si="84"/>
        <v>0</v>
      </c>
      <c r="BI179" s="480">
        <f t="shared" si="84"/>
        <v>0</v>
      </c>
    </row>
    <row r="180" spans="1:61" s="446" customFormat="1" hidden="1" outlineLevel="1">
      <c r="A180" s="145" t="s">
        <v>536</v>
      </c>
      <c r="B180" s="480"/>
      <c r="C180" s="480"/>
      <c r="D180" s="480"/>
      <c r="E180" s="480"/>
      <c r="F180" s="480"/>
      <c r="G180" s="480"/>
      <c r="H180" s="480"/>
      <c r="I180" s="480"/>
      <c r="J180" s="480"/>
      <c r="K180" s="480"/>
      <c r="L180" s="480"/>
      <c r="M180" s="480"/>
      <c r="N180" s="480"/>
      <c r="O180" s="480"/>
      <c r="P180" s="480"/>
      <c r="Q180" s="480"/>
      <c r="R180" s="480"/>
      <c r="S180" s="480">
        <f t="shared" ref="S180" si="85">(S$178-$S$178)/$S$178</f>
        <v>0</v>
      </c>
      <c r="T180" s="480">
        <f>(T$178-$S$178)/$S$178</f>
        <v>-6.1947363569606874E-2</v>
      </c>
      <c r="U180" s="480">
        <f t="shared" ref="U180:BI180" si="86">(U$178-$S$178)/$S$178</f>
        <v>-6.9984774244375852E-2</v>
      </c>
      <c r="V180" s="480">
        <f t="shared" si="86"/>
        <v>-7.8022184919144838E-2</v>
      </c>
      <c r="W180" s="480">
        <f t="shared" si="86"/>
        <v>-8.605959559391381E-2</v>
      </c>
      <c r="X180" s="480">
        <f t="shared" si="86"/>
        <v>-9.4097006268682781E-2</v>
      </c>
      <c r="Y180" s="480">
        <f t="shared" si="86"/>
        <v>-0.10213441694345209</v>
      </c>
      <c r="Z180" s="480">
        <f t="shared" si="86"/>
        <v>-0.12063742706462446</v>
      </c>
      <c r="AA180" s="480">
        <f t="shared" si="86"/>
        <v>-0.13914043718579686</v>
      </c>
      <c r="AB180" s="480">
        <f t="shared" si="86"/>
        <v>-0.15764344730696925</v>
      </c>
      <c r="AC180" s="480">
        <f t="shared" si="86"/>
        <v>-0.17614645742814164</v>
      </c>
      <c r="AD180" s="480">
        <f t="shared" si="86"/>
        <v>-0.1946494675493142</v>
      </c>
      <c r="AE180" s="480">
        <f t="shared" si="86"/>
        <v>-0.23154800579124724</v>
      </c>
      <c r="AF180" s="480">
        <f t="shared" si="86"/>
        <v>-0.2684465440331803</v>
      </c>
      <c r="AG180" s="480">
        <f t="shared" si="86"/>
        <v>-0.30534508227511337</v>
      </c>
      <c r="AH180" s="480">
        <f t="shared" si="86"/>
        <v>-0.34224362051704643</v>
      </c>
      <c r="AI180" s="480">
        <f t="shared" si="86"/>
        <v>-0.37914215875897939</v>
      </c>
      <c r="AJ180" s="480">
        <f t="shared" si="86"/>
        <v>-0.39947223901417417</v>
      </c>
      <c r="AK180" s="480">
        <f t="shared" si="86"/>
        <v>-0.41980231926936895</v>
      </c>
      <c r="AL180" s="480">
        <f t="shared" si="86"/>
        <v>-0.44013239952456373</v>
      </c>
      <c r="AM180" s="480">
        <f t="shared" si="86"/>
        <v>-0.46046247977975852</v>
      </c>
      <c r="AN180" s="480">
        <f t="shared" si="86"/>
        <v>-0.48079256003495319</v>
      </c>
      <c r="AO180" s="480">
        <f t="shared" si="86"/>
        <v>-0.48079256003495319</v>
      </c>
      <c r="AP180" s="480">
        <f t="shared" si="86"/>
        <v>-0.48079256003495319</v>
      </c>
      <c r="AQ180" s="480">
        <f t="shared" si="86"/>
        <v>-0.48079256003495319</v>
      </c>
      <c r="AR180" s="480">
        <f t="shared" si="86"/>
        <v>-0.48079256003495319</v>
      </c>
      <c r="AS180" s="480">
        <f t="shared" si="86"/>
        <v>-0.48079256003495319</v>
      </c>
      <c r="AT180" s="480">
        <f t="shared" si="86"/>
        <v>-0.48079256003495319</v>
      </c>
      <c r="AU180" s="480">
        <f t="shared" si="86"/>
        <v>-0.48079256003495319</v>
      </c>
      <c r="AV180" s="480">
        <f t="shared" si="86"/>
        <v>-0.48079256003495319</v>
      </c>
      <c r="AW180" s="480">
        <f t="shared" si="86"/>
        <v>-0.48079256003495319</v>
      </c>
      <c r="AX180" s="480">
        <f t="shared" si="86"/>
        <v>-0.48079256003495319</v>
      </c>
      <c r="AY180" s="480">
        <f t="shared" si="86"/>
        <v>-0.48079256003495319</v>
      </c>
      <c r="AZ180" s="480">
        <f t="shared" si="86"/>
        <v>-0.48079256003495319</v>
      </c>
      <c r="BA180" s="480">
        <f t="shared" si="86"/>
        <v>-0.48079256003495319</v>
      </c>
      <c r="BB180" s="480">
        <f t="shared" si="86"/>
        <v>-0.48079256003495319</v>
      </c>
      <c r="BC180" s="480">
        <f t="shared" si="86"/>
        <v>-0.48079256003495319</v>
      </c>
      <c r="BD180" s="480">
        <f t="shared" si="86"/>
        <v>-0.48079256003495319</v>
      </c>
      <c r="BE180" s="480">
        <f t="shared" si="86"/>
        <v>-0.48079256003495319</v>
      </c>
      <c r="BF180" s="480">
        <f t="shared" si="86"/>
        <v>-0.48079256003495319</v>
      </c>
      <c r="BG180" s="480">
        <f t="shared" si="86"/>
        <v>-0.48079256003495319</v>
      </c>
      <c r="BH180" s="480">
        <f t="shared" si="86"/>
        <v>-0.48079256003495319</v>
      </c>
      <c r="BI180" s="480">
        <f t="shared" si="86"/>
        <v>-0.48079256003495319</v>
      </c>
    </row>
    <row r="181" spans="1:61" s="446" customFormat="1" hidden="1" outlineLevel="1">
      <c r="A181" s="35" t="s">
        <v>445</v>
      </c>
      <c r="B181" s="149"/>
      <c r="AD181"/>
    </row>
    <row r="182" spans="1:61" s="449" customFormat="1" hidden="1" outlineLevel="1">
      <c r="A182" s="453" t="s">
        <v>442</v>
      </c>
      <c r="B182" s="149"/>
    </row>
    <row r="183" spans="1:61" s="449" customFormat="1" hidden="1" outlineLevel="1">
      <c r="A183" s="453" t="s">
        <v>443</v>
      </c>
      <c r="B183" s="149"/>
    </row>
    <row r="184" spans="1:61" s="449" customFormat="1" hidden="1" outlineLevel="1">
      <c r="A184" s="453" t="s">
        <v>444</v>
      </c>
      <c r="B184" s="149"/>
    </row>
    <row r="185" spans="1:61" s="449" customFormat="1" hidden="1" outlineLevel="1">
      <c r="A185" s="149"/>
      <c r="B185" s="149"/>
    </row>
    <row r="186" spans="1:61" hidden="1" outlineLevel="1">
      <c r="A186" s="132" t="s">
        <v>66</v>
      </c>
      <c r="B186" s="311"/>
      <c r="C186" s="311"/>
      <c r="D186" s="311"/>
      <c r="E186" s="311"/>
      <c r="F186" s="311"/>
      <c r="G186" s="311"/>
      <c r="H186" s="311"/>
      <c r="I186" s="311"/>
      <c r="J186" s="311"/>
      <c r="K186" s="311"/>
      <c r="L186" s="311"/>
      <c r="M186" s="311"/>
      <c r="N186" s="311"/>
      <c r="O186" s="311"/>
      <c r="P186" s="311"/>
      <c r="Q186" s="311"/>
    </row>
    <row r="187" spans="1:61" hidden="1" outlineLevel="1">
      <c r="A187" s="135" t="s">
        <v>67</v>
      </c>
      <c r="B187" s="311"/>
      <c r="C187" s="311"/>
      <c r="D187" s="311"/>
      <c r="E187" s="311"/>
      <c r="F187" s="311"/>
      <c r="G187" s="311"/>
      <c r="H187" s="311"/>
      <c r="I187" s="311"/>
      <c r="J187" s="311"/>
      <c r="K187" s="311"/>
      <c r="L187" s="311"/>
      <c r="M187" s="311"/>
      <c r="N187" s="311"/>
      <c r="O187" s="311"/>
      <c r="P187" s="311"/>
      <c r="Q187" s="311"/>
    </row>
    <row r="188" spans="1:61" ht="78.75" hidden="1" customHeight="1" outlineLevel="1" thickBot="1">
      <c r="A188" s="313" t="s">
        <v>446</v>
      </c>
      <c r="B188" s="137"/>
      <c r="C188" s="137"/>
      <c r="D188" s="137"/>
      <c r="E188" s="137"/>
      <c r="F188" s="137"/>
      <c r="G188" s="137"/>
      <c r="H188" s="137"/>
      <c r="I188" s="137"/>
      <c r="J188" s="137"/>
      <c r="K188" s="137"/>
      <c r="L188" s="137"/>
      <c r="M188" s="137"/>
      <c r="N188" s="137"/>
      <c r="O188" s="137"/>
      <c r="P188" s="313" t="s">
        <v>95</v>
      </c>
      <c r="Q188" s="198" t="s">
        <v>447</v>
      </c>
    </row>
    <row r="189" spans="1:61" ht="30" hidden="1" outlineLevel="1">
      <c r="A189" s="309" t="s">
        <v>56</v>
      </c>
      <c r="B189" s="309" t="s">
        <v>57</v>
      </c>
      <c r="C189" s="311"/>
      <c r="D189" s="311"/>
      <c r="E189" s="311"/>
      <c r="F189" s="311"/>
      <c r="G189" s="311"/>
      <c r="H189" s="311"/>
      <c r="I189" s="311"/>
      <c r="J189" s="311"/>
      <c r="K189" s="311"/>
      <c r="L189" s="311"/>
      <c r="M189" s="311"/>
      <c r="N189" s="311"/>
      <c r="O189" s="311"/>
      <c r="P189" s="133">
        <f>'VOC eksploatacja samochody'!P237</f>
        <v>1.81</v>
      </c>
      <c r="Q189" s="102">
        <v>128</v>
      </c>
    </row>
    <row r="190" spans="1:61" ht="30" hidden="1" outlineLevel="1">
      <c r="A190" s="309" t="str">
        <f>A189</f>
        <v>Samochód osobowy, hybrydowy benzyna +elektryczny</v>
      </c>
      <c r="B190" s="309" t="s">
        <v>58</v>
      </c>
      <c r="C190" s="311"/>
      <c r="D190" s="311"/>
      <c r="E190" s="311"/>
      <c r="F190" s="311"/>
      <c r="G190" s="311"/>
      <c r="H190" s="311"/>
      <c r="I190" s="311"/>
      <c r="J190" s="311"/>
      <c r="K190" s="311"/>
      <c r="L190" s="311"/>
      <c r="M190" s="311"/>
      <c r="N190" s="311"/>
      <c r="O190" s="311"/>
      <c r="P190" s="133">
        <f>'VOC eksploatacja samochody'!P238</f>
        <v>2.37</v>
      </c>
      <c r="Q190" s="102">
        <v>168</v>
      </c>
    </row>
    <row r="191" spans="1:61" ht="30" hidden="1" outlineLevel="1">
      <c r="A191" s="309" t="s">
        <v>59</v>
      </c>
      <c r="B191" s="309" t="s">
        <v>57</v>
      </c>
      <c r="C191" s="311"/>
      <c r="D191" s="311"/>
      <c r="E191" s="311"/>
      <c r="F191" s="311"/>
      <c r="G191" s="311"/>
      <c r="H191" s="311"/>
      <c r="I191" s="311"/>
      <c r="J191" s="311"/>
      <c r="K191" s="311"/>
      <c r="L191" s="311"/>
      <c r="M191" s="311"/>
      <c r="N191" s="311"/>
      <c r="O191" s="311"/>
      <c r="P191" s="133">
        <f>'VOC eksploatacja samochody'!P239</f>
        <v>0.84</v>
      </c>
      <c r="Q191" s="102">
        <v>0</v>
      </c>
    </row>
    <row r="192" spans="1:61" ht="30" hidden="1" outlineLevel="1">
      <c r="A192" s="309" t="s">
        <v>59</v>
      </c>
      <c r="B192" s="309" t="s">
        <v>58</v>
      </c>
      <c r="C192" s="311"/>
      <c r="D192" s="311"/>
      <c r="E192" s="311"/>
      <c r="F192" s="311"/>
      <c r="G192" s="311"/>
      <c r="H192" s="311"/>
      <c r="I192" s="311"/>
      <c r="J192" s="311"/>
      <c r="K192" s="311"/>
      <c r="L192" s="311"/>
      <c r="M192" s="311"/>
      <c r="N192" s="311"/>
      <c r="O192" s="311"/>
      <c r="P192" s="133">
        <f>'VOC eksploatacja samochody'!P240</f>
        <v>0.73</v>
      </c>
      <c r="Q192" s="102">
        <v>0</v>
      </c>
    </row>
    <row r="193" spans="1:61" ht="45" hidden="1" outlineLevel="1">
      <c r="A193" s="309" t="s">
        <v>61</v>
      </c>
      <c r="B193" s="309" t="s">
        <v>57</v>
      </c>
      <c r="C193" s="311"/>
      <c r="D193" s="311"/>
      <c r="E193" s="311"/>
      <c r="F193" s="311"/>
      <c r="G193" s="311"/>
      <c r="H193" s="311"/>
      <c r="I193" s="311"/>
      <c r="J193" s="311"/>
      <c r="K193" s="311"/>
      <c r="L193" s="311"/>
      <c r="M193" s="311"/>
      <c r="N193" s="311"/>
      <c r="O193" s="311"/>
      <c r="P193" s="133">
        <f>'VOC eksploatacja samochody'!P241</f>
        <v>11.42</v>
      </c>
      <c r="Q193" s="102">
        <v>809</v>
      </c>
    </row>
    <row r="194" spans="1:61" ht="30" hidden="1" outlineLevel="1">
      <c r="A194" s="310" t="s">
        <v>62</v>
      </c>
      <c r="B194" s="310" t="s">
        <v>57</v>
      </c>
      <c r="C194" s="312"/>
      <c r="D194" s="312"/>
      <c r="E194" s="312"/>
      <c r="F194" s="312"/>
      <c r="G194" s="312"/>
      <c r="H194" s="312"/>
      <c r="I194" s="312"/>
      <c r="J194" s="312"/>
      <c r="K194" s="312"/>
      <c r="L194" s="312"/>
      <c r="M194" s="312"/>
      <c r="N194" s="312"/>
      <c r="O194" s="312"/>
      <c r="P194" s="138">
        <f>'VOC eksploatacja samochody'!P242</f>
        <v>7.83</v>
      </c>
      <c r="Q194" s="139">
        <v>0</v>
      </c>
    </row>
    <row r="195" spans="1:61" hidden="1" outlineLevel="1">
      <c r="A195" s="141" t="s">
        <v>448</v>
      </c>
      <c r="B195" s="149"/>
      <c r="C195" s="149"/>
      <c r="D195" s="149"/>
      <c r="E195" s="149"/>
      <c r="F195" s="149"/>
      <c r="G195" s="149"/>
      <c r="H195" s="149"/>
      <c r="I195" s="149"/>
      <c r="J195" s="149"/>
      <c r="K195" s="149"/>
      <c r="L195" s="149"/>
      <c r="M195" s="149"/>
      <c r="N195" s="149"/>
      <c r="O195" s="149"/>
      <c r="P195" s="150"/>
      <c r="Q195" s="151"/>
    </row>
    <row r="196" spans="1:61" hidden="1" outlineLevel="1">
      <c r="A196" s="35" t="s">
        <v>449</v>
      </c>
      <c r="B196" s="311"/>
      <c r="C196" s="311"/>
      <c r="D196" s="311"/>
      <c r="E196" s="311"/>
      <c r="F196" s="311"/>
      <c r="G196" s="311"/>
      <c r="H196" s="311"/>
      <c r="I196" s="311"/>
      <c r="J196" s="311"/>
      <c r="K196" s="311"/>
      <c r="L196" s="311"/>
      <c r="M196" s="311"/>
      <c r="N196" s="311"/>
      <c r="O196" s="311"/>
      <c r="P196" s="311"/>
      <c r="Q196" s="311"/>
    </row>
    <row r="197" spans="1:61" hidden="1" outlineLevel="1">
      <c r="A197" s="649" t="s">
        <v>450</v>
      </c>
      <c r="B197" s="649"/>
      <c r="C197" s="649"/>
      <c r="D197" s="649"/>
      <c r="E197" s="649"/>
      <c r="F197" s="649"/>
      <c r="G197" s="649"/>
      <c r="H197" s="649"/>
      <c r="I197" s="649"/>
      <c r="J197" s="649"/>
      <c r="K197" s="649"/>
      <c r="L197" s="649"/>
      <c r="M197" s="649"/>
      <c r="N197" s="649"/>
      <c r="O197" s="649"/>
      <c r="P197" s="649"/>
      <c r="Q197" s="649"/>
      <c r="R197" s="649"/>
      <c r="S197" s="649"/>
      <c r="T197" s="649"/>
      <c r="U197" s="649"/>
      <c r="V197" s="649"/>
    </row>
    <row r="198" spans="1:61" s="454" customFormat="1" hidden="1" outlineLevel="1">
      <c r="A198" s="649"/>
      <c r="B198" s="649"/>
      <c r="C198" s="649"/>
      <c r="D198" s="649"/>
      <c r="E198" s="649"/>
      <c r="F198" s="649"/>
      <c r="G198" s="649"/>
      <c r="H198" s="649"/>
      <c r="I198" s="649"/>
      <c r="J198" s="649"/>
      <c r="K198" s="649"/>
      <c r="L198" s="649"/>
      <c r="M198" s="649"/>
      <c r="N198" s="649"/>
      <c r="O198" s="649"/>
      <c r="P198" s="649"/>
      <c r="Q198" s="649"/>
      <c r="R198" s="649"/>
      <c r="S198" s="649"/>
      <c r="T198" s="649"/>
      <c r="U198" s="649"/>
      <c r="V198" s="649"/>
    </row>
    <row r="199" spans="1:61" hidden="1" outlineLevel="1">
      <c r="A199" s="311"/>
      <c r="B199" s="311"/>
      <c r="C199" s="311"/>
      <c r="D199" s="311"/>
      <c r="E199" s="311"/>
      <c r="F199" s="311"/>
      <c r="G199" s="311"/>
      <c r="H199" s="311"/>
      <c r="I199" s="311"/>
      <c r="J199" s="311"/>
      <c r="K199" s="311"/>
      <c r="L199" s="311"/>
      <c r="M199" s="311"/>
      <c r="N199" s="311"/>
      <c r="O199" s="311"/>
      <c r="P199" s="311"/>
      <c r="Q199" s="311"/>
    </row>
    <row r="200" spans="1:61" hidden="1" outlineLevel="1">
      <c r="A200" s="311" t="s">
        <v>48</v>
      </c>
      <c r="B200" s="147">
        <f>B201/(B202*B203)</f>
        <v>0.27777777777777779</v>
      </c>
      <c r="C200" s="311"/>
      <c r="D200" s="311"/>
      <c r="E200" s="311"/>
      <c r="F200" s="311"/>
      <c r="G200" s="311"/>
      <c r="H200" s="311"/>
      <c r="I200" s="311"/>
      <c r="J200" s="311"/>
      <c r="K200" s="311"/>
      <c r="L200" s="311"/>
      <c r="M200" s="311"/>
      <c r="N200" s="311"/>
      <c r="O200" s="311"/>
      <c r="P200" s="311"/>
      <c r="Q200" s="311"/>
    </row>
    <row r="201" spans="1:61" hidden="1" outlineLevel="1">
      <c r="A201" s="311"/>
      <c r="B201" s="102">
        <f>10^6</f>
        <v>1000000</v>
      </c>
      <c r="C201" s="311"/>
      <c r="D201" s="311"/>
      <c r="E201" s="311"/>
      <c r="F201" s="311"/>
      <c r="G201" s="311"/>
      <c r="H201" s="311"/>
      <c r="I201" s="311"/>
      <c r="J201" s="311"/>
      <c r="K201" s="311"/>
      <c r="L201" s="311"/>
      <c r="M201" s="311"/>
      <c r="N201" s="311"/>
      <c r="O201" s="311"/>
      <c r="P201" s="311" t="s">
        <v>51</v>
      </c>
      <c r="Q201" s="311"/>
    </row>
    <row r="202" spans="1:61" hidden="1" outlineLevel="1">
      <c r="A202" s="311"/>
      <c r="B202" s="102">
        <f>10^3</f>
        <v>1000</v>
      </c>
      <c r="C202" s="311"/>
      <c r="D202" s="311"/>
      <c r="E202" s="311"/>
      <c r="F202" s="311"/>
      <c r="G202" s="311"/>
      <c r="H202" s="311"/>
      <c r="I202" s="311"/>
      <c r="J202" s="311"/>
      <c r="K202" s="311"/>
      <c r="L202" s="311"/>
      <c r="M202" s="311"/>
      <c r="N202" s="311"/>
      <c r="O202" s="311"/>
      <c r="P202" s="311" t="s">
        <v>52</v>
      </c>
      <c r="Q202" s="311"/>
    </row>
    <row r="203" spans="1:61" hidden="1" outlineLevel="1">
      <c r="A203" s="311"/>
      <c r="B203" s="102">
        <f>(60*60)</f>
        <v>3600</v>
      </c>
      <c r="C203" s="311"/>
      <c r="D203" s="311"/>
      <c r="E203" s="311"/>
      <c r="F203" s="311"/>
      <c r="G203" s="311"/>
      <c r="H203" s="311"/>
      <c r="I203" s="311"/>
      <c r="J203" s="311"/>
      <c r="K203" s="311"/>
      <c r="L203" s="311"/>
      <c r="M203" s="311"/>
      <c r="N203" s="311"/>
      <c r="O203" s="311"/>
      <c r="P203" s="311" t="s">
        <v>53</v>
      </c>
      <c r="Q203" s="311"/>
    </row>
    <row r="204" spans="1:61" collapsed="1"/>
    <row r="205" spans="1:61" s="454" customFormat="1" ht="18">
      <c r="A205" s="1" t="s">
        <v>309</v>
      </c>
    </row>
    <row r="206" spans="1:61" s="454" customFormat="1">
      <c r="A206" s="450"/>
      <c r="B206" s="451"/>
      <c r="C206" s="451"/>
      <c r="D206" s="451"/>
      <c r="E206" s="451"/>
      <c r="F206" s="451"/>
      <c r="G206" s="451"/>
      <c r="H206" s="451"/>
      <c r="I206" s="451"/>
      <c r="J206" s="451"/>
      <c r="K206" s="451"/>
      <c r="L206" s="451"/>
      <c r="M206" s="451"/>
      <c r="N206" s="451"/>
      <c r="O206" s="451"/>
      <c r="P206" s="450"/>
      <c r="Q206" s="450"/>
      <c r="R206" s="450"/>
      <c r="S206" s="450">
        <v>2019</v>
      </c>
      <c r="T206" s="450">
        <f>S206+1</f>
        <v>2020</v>
      </c>
      <c r="U206" s="450">
        <f t="shared" ref="U206" si="87">T206+1</f>
        <v>2021</v>
      </c>
      <c r="V206" s="450">
        <f t="shared" ref="V206" si="88">U206+1</f>
        <v>2022</v>
      </c>
      <c r="W206" s="450">
        <f t="shared" ref="W206" si="89">V206+1</f>
        <v>2023</v>
      </c>
      <c r="X206" s="450">
        <f t="shared" ref="X206" si="90">W206+1</f>
        <v>2024</v>
      </c>
      <c r="Y206" s="450">
        <f t="shared" ref="Y206" si="91">X206+1</f>
        <v>2025</v>
      </c>
      <c r="Z206" s="450">
        <f t="shared" ref="Z206" si="92">Y206+1</f>
        <v>2026</v>
      </c>
      <c r="AA206" s="450">
        <f t="shared" ref="AA206" si="93">Z206+1</f>
        <v>2027</v>
      </c>
      <c r="AB206" s="450">
        <f t="shared" ref="AB206" si="94">AA206+1</f>
        <v>2028</v>
      </c>
      <c r="AC206" s="450">
        <f t="shared" ref="AC206" si="95">AB206+1</f>
        <v>2029</v>
      </c>
      <c r="AD206" s="450">
        <f t="shared" ref="AD206" si="96">AC206+1</f>
        <v>2030</v>
      </c>
      <c r="AE206" s="450">
        <f t="shared" ref="AE206" si="97">AD206+1</f>
        <v>2031</v>
      </c>
      <c r="AF206" s="450">
        <f t="shared" ref="AF206" si="98">AE206+1</f>
        <v>2032</v>
      </c>
      <c r="AG206" s="450">
        <f t="shared" ref="AG206" si="99">AF206+1</f>
        <v>2033</v>
      </c>
      <c r="AH206" s="450">
        <f t="shared" ref="AH206" si="100">AG206+1</f>
        <v>2034</v>
      </c>
      <c r="AI206" s="450">
        <f t="shared" ref="AI206" si="101">AH206+1</f>
        <v>2035</v>
      </c>
      <c r="AJ206" s="450">
        <f t="shared" ref="AJ206" si="102">AI206+1</f>
        <v>2036</v>
      </c>
      <c r="AK206" s="450">
        <f t="shared" ref="AK206" si="103">AJ206+1</f>
        <v>2037</v>
      </c>
      <c r="AL206" s="450">
        <f t="shared" ref="AL206" si="104">AK206+1</f>
        <v>2038</v>
      </c>
      <c r="AM206" s="450">
        <f t="shared" ref="AM206" si="105">AL206+1</f>
        <v>2039</v>
      </c>
      <c r="AN206" s="450">
        <f t="shared" ref="AN206" si="106">AM206+1</f>
        <v>2040</v>
      </c>
      <c r="AO206" s="450">
        <f t="shared" ref="AO206" si="107">AN206+1</f>
        <v>2041</v>
      </c>
      <c r="AP206" s="450">
        <f t="shared" ref="AP206" si="108">AO206+1</f>
        <v>2042</v>
      </c>
      <c r="AQ206" s="450">
        <f t="shared" ref="AQ206" si="109">AP206+1</f>
        <v>2043</v>
      </c>
      <c r="AR206" s="450">
        <f t="shared" ref="AR206" si="110">AQ206+1</f>
        <v>2044</v>
      </c>
      <c r="AS206" s="450">
        <f t="shared" ref="AS206" si="111">AR206+1</f>
        <v>2045</v>
      </c>
      <c r="AT206" s="450">
        <f t="shared" ref="AT206" si="112">AS206+1</f>
        <v>2046</v>
      </c>
      <c r="AU206" s="450">
        <f t="shared" ref="AU206" si="113">AT206+1</f>
        <v>2047</v>
      </c>
      <c r="AV206" s="450">
        <f t="shared" ref="AV206" si="114">AU206+1</f>
        <v>2048</v>
      </c>
      <c r="AW206" s="450">
        <f t="shared" ref="AW206" si="115">AV206+1</f>
        <v>2049</v>
      </c>
      <c r="AX206" s="450">
        <f t="shared" ref="AX206" si="116">AW206+1</f>
        <v>2050</v>
      </c>
      <c r="AY206" s="450">
        <f t="shared" ref="AY206" si="117">AX206+1</f>
        <v>2051</v>
      </c>
      <c r="AZ206" s="450">
        <f t="shared" ref="AZ206" si="118">AY206+1</f>
        <v>2052</v>
      </c>
      <c r="BA206" s="450">
        <f t="shared" ref="BA206" si="119">AZ206+1</f>
        <v>2053</v>
      </c>
      <c r="BB206" s="450">
        <f t="shared" ref="BB206" si="120">BA206+1</f>
        <v>2054</v>
      </c>
      <c r="BC206" s="450">
        <f t="shared" ref="BC206" si="121">BB206+1</f>
        <v>2055</v>
      </c>
      <c r="BD206" s="450">
        <f t="shared" ref="BD206" si="122">BC206+1</f>
        <v>2056</v>
      </c>
      <c r="BE206" s="450">
        <f t="shared" ref="BE206" si="123">BD206+1</f>
        <v>2057</v>
      </c>
      <c r="BF206" s="450">
        <f t="shared" ref="BF206" si="124">BE206+1</f>
        <v>2058</v>
      </c>
      <c r="BG206" s="450">
        <f t="shared" ref="BG206" si="125">BF206+1</f>
        <v>2059</v>
      </c>
      <c r="BH206" s="450">
        <f t="shared" ref="BH206" si="126">BG206+1</f>
        <v>2060</v>
      </c>
      <c r="BI206" s="450">
        <f t="shared" ref="BI206" si="127">BH206+1</f>
        <v>2061</v>
      </c>
    </row>
    <row r="207" spans="1:61" s="454" customFormat="1" ht="33">
      <c r="A207" s="491" t="s">
        <v>308</v>
      </c>
      <c r="B207" s="405"/>
      <c r="C207" s="405"/>
      <c r="D207" s="405"/>
      <c r="E207" s="405"/>
      <c r="F207" s="405"/>
      <c r="G207" s="405"/>
      <c r="H207" s="405"/>
      <c r="I207" s="405"/>
      <c r="J207" s="405"/>
      <c r="K207" s="405"/>
      <c r="L207" s="405"/>
      <c r="M207" s="405"/>
      <c r="N207" s="405"/>
      <c r="O207" s="405"/>
      <c r="P207" s="405"/>
      <c r="Q207" s="405"/>
      <c r="R207" s="405"/>
      <c r="S207" s="481"/>
      <c r="T207" s="405">
        <f>T$179</f>
        <v>-6.1947363569606874E-2</v>
      </c>
      <c r="U207" s="405">
        <f t="shared" ref="U207:BI207" si="128">U$179</f>
        <v>-8.5681872878200505E-3</v>
      </c>
      <c r="V207" s="405">
        <f t="shared" si="128"/>
        <v>-8.6422355808623407E-3</v>
      </c>
      <c r="W207" s="405">
        <f t="shared" si="128"/>
        <v>-8.7175749169887736E-3</v>
      </c>
      <c r="X207" s="405">
        <f t="shared" si="128"/>
        <v>-8.7942393574250589E-3</v>
      </c>
      <c r="Y207" s="405">
        <f t="shared" si="128"/>
        <v>-8.872264172198021E-3</v>
      </c>
      <c r="Z207" s="405">
        <f t="shared" si="128"/>
        <v>-2.0607773001147616E-2</v>
      </c>
      <c r="AA207" s="405">
        <f t="shared" si="128"/>
        <v>-2.1041389172850523E-2</v>
      </c>
      <c r="AB207" s="405">
        <f t="shared" si="128"/>
        <v>-2.1493645328960399E-2</v>
      </c>
      <c r="AC207" s="405">
        <f t="shared" si="128"/>
        <v>-2.1965769794296604E-2</v>
      </c>
      <c r="AD207" s="405">
        <f t="shared" si="128"/>
        <v>-2.2459101241964586E-2</v>
      </c>
      <c r="AE207" s="405">
        <f t="shared" si="128"/>
        <v>-4.5816742840723797E-2</v>
      </c>
      <c r="AF207" s="405">
        <f t="shared" si="128"/>
        <v>-4.8016712195439286E-2</v>
      </c>
      <c r="AG207" s="405">
        <f t="shared" si="128"/>
        <v>-5.0438608335419619E-2</v>
      </c>
      <c r="AH207" s="405">
        <f t="shared" si="128"/>
        <v>-5.3117796045815187E-2</v>
      </c>
      <c r="AI207" s="405">
        <f t="shared" si="128"/>
        <v>-5.6097575626614264E-2</v>
      </c>
      <c r="AJ207" s="405">
        <f t="shared" si="128"/>
        <v>-3.2745145353334636E-2</v>
      </c>
      <c r="AK207" s="405">
        <f t="shared" si="128"/>
        <v>-3.3853689331232478E-2</v>
      </c>
      <c r="AL207" s="405">
        <f t="shared" si="128"/>
        <v>-3.5039919893498236E-2</v>
      </c>
      <c r="AM207" s="405">
        <f t="shared" si="128"/>
        <v>-3.6312299975798913E-2</v>
      </c>
      <c r="AN207" s="405">
        <f t="shared" si="128"/>
        <v>-3.7680568066695112E-2</v>
      </c>
      <c r="AO207" s="405">
        <f t="shared" si="128"/>
        <v>0</v>
      </c>
      <c r="AP207" s="405">
        <f t="shared" si="128"/>
        <v>0</v>
      </c>
      <c r="AQ207" s="405">
        <f t="shared" si="128"/>
        <v>0</v>
      </c>
      <c r="AR207" s="405">
        <f t="shared" si="128"/>
        <v>0</v>
      </c>
      <c r="AS207" s="405">
        <f t="shared" si="128"/>
        <v>0</v>
      </c>
      <c r="AT207" s="405">
        <f t="shared" si="128"/>
        <v>0</v>
      </c>
      <c r="AU207" s="405">
        <f t="shared" si="128"/>
        <v>0</v>
      </c>
      <c r="AV207" s="405">
        <f t="shared" si="128"/>
        <v>0</v>
      </c>
      <c r="AW207" s="405">
        <f t="shared" si="128"/>
        <v>0</v>
      </c>
      <c r="AX207" s="405">
        <f t="shared" si="128"/>
        <v>0</v>
      </c>
      <c r="AY207" s="405">
        <f t="shared" si="128"/>
        <v>0</v>
      </c>
      <c r="AZ207" s="405">
        <f t="shared" si="128"/>
        <v>0</v>
      </c>
      <c r="BA207" s="405">
        <f t="shared" si="128"/>
        <v>0</v>
      </c>
      <c r="BB207" s="405">
        <f t="shared" si="128"/>
        <v>0</v>
      </c>
      <c r="BC207" s="405">
        <f t="shared" si="128"/>
        <v>0</v>
      </c>
      <c r="BD207" s="405">
        <f t="shared" si="128"/>
        <v>0</v>
      </c>
      <c r="BE207" s="405">
        <f t="shared" si="128"/>
        <v>0</v>
      </c>
      <c r="BF207" s="405">
        <f t="shared" si="128"/>
        <v>0</v>
      </c>
      <c r="BG207" s="405">
        <f t="shared" si="128"/>
        <v>0</v>
      </c>
      <c r="BH207" s="405">
        <f t="shared" si="128"/>
        <v>0</v>
      </c>
      <c r="BI207" s="405">
        <f t="shared" si="128"/>
        <v>0</v>
      </c>
    </row>
    <row r="208" spans="1:61" s="454" customFormat="1" ht="48">
      <c r="A208" s="491" t="s">
        <v>307</v>
      </c>
      <c r="B208" s="405"/>
      <c r="C208" s="405"/>
      <c r="D208" s="405"/>
      <c r="E208" s="405"/>
      <c r="F208" s="405"/>
      <c r="G208" s="405"/>
      <c r="H208" s="405"/>
      <c r="I208" s="405"/>
      <c r="J208" s="405"/>
      <c r="K208" s="405"/>
      <c r="L208" s="405"/>
      <c r="M208" s="405"/>
      <c r="N208" s="405"/>
      <c r="O208" s="405"/>
      <c r="P208" s="405"/>
      <c r="Q208" s="405"/>
      <c r="R208" s="405"/>
      <c r="S208" s="405">
        <f>S$180</f>
        <v>0</v>
      </c>
      <c r="T208" s="405">
        <f t="shared" ref="T208:BI208" si="129">T$180</f>
        <v>-6.1947363569606874E-2</v>
      </c>
      <c r="U208" s="405">
        <f t="shared" si="129"/>
        <v>-6.9984774244375852E-2</v>
      </c>
      <c r="V208" s="405">
        <f t="shared" si="129"/>
        <v>-7.8022184919144838E-2</v>
      </c>
      <c r="W208" s="405">
        <f t="shared" si="129"/>
        <v>-8.605959559391381E-2</v>
      </c>
      <c r="X208" s="405">
        <f t="shared" si="129"/>
        <v>-9.4097006268682781E-2</v>
      </c>
      <c r="Y208" s="405">
        <f t="shared" si="129"/>
        <v>-0.10213441694345209</v>
      </c>
      <c r="Z208" s="405">
        <f t="shared" si="129"/>
        <v>-0.12063742706462446</v>
      </c>
      <c r="AA208" s="405">
        <f t="shared" si="129"/>
        <v>-0.13914043718579686</v>
      </c>
      <c r="AB208" s="405">
        <f t="shared" si="129"/>
        <v>-0.15764344730696925</v>
      </c>
      <c r="AC208" s="405">
        <f t="shared" si="129"/>
        <v>-0.17614645742814164</v>
      </c>
      <c r="AD208" s="405">
        <f t="shared" si="129"/>
        <v>-0.1946494675493142</v>
      </c>
      <c r="AE208" s="405">
        <f t="shared" si="129"/>
        <v>-0.23154800579124724</v>
      </c>
      <c r="AF208" s="405">
        <f t="shared" si="129"/>
        <v>-0.2684465440331803</v>
      </c>
      <c r="AG208" s="405">
        <f t="shared" si="129"/>
        <v>-0.30534508227511337</v>
      </c>
      <c r="AH208" s="405">
        <f t="shared" si="129"/>
        <v>-0.34224362051704643</v>
      </c>
      <c r="AI208" s="405">
        <f t="shared" si="129"/>
        <v>-0.37914215875897939</v>
      </c>
      <c r="AJ208" s="405">
        <f t="shared" si="129"/>
        <v>-0.39947223901417417</v>
      </c>
      <c r="AK208" s="405">
        <f t="shared" si="129"/>
        <v>-0.41980231926936895</v>
      </c>
      <c r="AL208" s="405">
        <f t="shared" si="129"/>
        <v>-0.44013239952456373</v>
      </c>
      <c r="AM208" s="405">
        <f t="shared" si="129"/>
        <v>-0.46046247977975852</v>
      </c>
      <c r="AN208" s="405">
        <f t="shared" si="129"/>
        <v>-0.48079256003495319</v>
      </c>
      <c r="AO208" s="405">
        <f t="shared" si="129"/>
        <v>-0.48079256003495319</v>
      </c>
      <c r="AP208" s="405">
        <f t="shared" si="129"/>
        <v>-0.48079256003495319</v>
      </c>
      <c r="AQ208" s="405">
        <f t="shared" si="129"/>
        <v>-0.48079256003495319</v>
      </c>
      <c r="AR208" s="405">
        <f t="shared" si="129"/>
        <v>-0.48079256003495319</v>
      </c>
      <c r="AS208" s="405">
        <f t="shared" si="129"/>
        <v>-0.48079256003495319</v>
      </c>
      <c r="AT208" s="405">
        <f t="shared" si="129"/>
        <v>-0.48079256003495319</v>
      </c>
      <c r="AU208" s="405">
        <f t="shared" si="129"/>
        <v>-0.48079256003495319</v>
      </c>
      <c r="AV208" s="405">
        <f t="shared" si="129"/>
        <v>-0.48079256003495319</v>
      </c>
      <c r="AW208" s="405">
        <f t="shared" si="129"/>
        <v>-0.48079256003495319</v>
      </c>
      <c r="AX208" s="405">
        <f t="shared" si="129"/>
        <v>-0.48079256003495319</v>
      </c>
      <c r="AY208" s="405">
        <f t="shared" si="129"/>
        <v>-0.48079256003495319</v>
      </c>
      <c r="AZ208" s="405">
        <f t="shared" si="129"/>
        <v>-0.48079256003495319</v>
      </c>
      <c r="BA208" s="405">
        <f t="shared" si="129"/>
        <v>-0.48079256003495319</v>
      </c>
      <c r="BB208" s="405">
        <f t="shared" si="129"/>
        <v>-0.48079256003495319</v>
      </c>
      <c r="BC208" s="405">
        <f t="shared" si="129"/>
        <v>-0.48079256003495319</v>
      </c>
      <c r="BD208" s="405">
        <f t="shared" si="129"/>
        <v>-0.48079256003495319</v>
      </c>
      <c r="BE208" s="405">
        <f t="shared" si="129"/>
        <v>-0.48079256003495319</v>
      </c>
      <c r="BF208" s="405">
        <f t="shared" si="129"/>
        <v>-0.48079256003495319</v>
      </c>
      <c r="BG208" s="405">
        <f t="shared" si="129"/>
        <v>-0.48079256003495319</v>
      </c>
      <c r="BH208" s="405">
        <f t="shared" si="129"/>
        <v>-0.48079256003495319</v>
      </c>
      <c r="BI208" s="405">
        <f t="shared" si="129"/>
        <v>-0.48079256003495319</v>
      </c>
    </row>
    <row r="209" spans="1:61" s="454" customFormat="1"/>
    <row r="210" spans="1:61" ht="18">
      <c r="A210" s="1" t="s">
        <v>65</v>
      </c>
      <c r="B210" s="311"/>
      <c r="C210" s="311"/>
      <c r="D210" s="311"/>
      <c r="E210" s="311"/>
      <c r="F210" s="311"/>
      <c r="G210" s="311"/>
      <c r="H210" s="311"/>
      <c r="I210" s="311"/>
      <c r="J210" s="311"/>
      <c r="K210" s="311"/>
      <c r="L210" s="311"/>
      <c r="M210" s="311"/>
      <c r="N210" s="311"/>
      <c r="O210" s="311"/>
      <c r="P210" s="311"/>
      <c r="Q210" s="311"/>
    </row>
    <row r="211" spans="1:61" s="454" customFormat="1">
      <c r="A211" s="649" t="s">
        <v>451</v>
      </c>
      <c r="B211" s="649"/>
      <c r="C211" s="649"/>
      <c r="D211" s="649"/>
      <c r="E211" s="649"/>
      <c r="F211" s="649"/>
      <c r="G211" s="649"/>
      <c r="H211" s="649"/>
      <c r="I211" s="649"/>
      <c r="J211" s="649"/>
      <c r="K211" s="649"/>
      <c r="L211" s="649"/>
      <c r="M211" s="649"/>
      <c r="N211" s="649"/>
      <c r="O211" s="649"/>
      <c r="P211" s="649"/>
      <c r="Q211" s="649"/>
      <c r="R211" s="649"/>
      <c r="S211" s="649"/>
      <c r="T211" s="649"/>
      <c r="U211" s="649"/>
      <c r="V211" s="649"/>
    </row>
    <row r="212" spans="1:61" s="454" customFormat="1">
      <c r="A212" s="649"/>
      <c r="B212" s="649"/>
      <c r="C212" s="649"/>
      <c r="D212" s="649"/>
      <c r="E212" s="649"/>
      <c r="F212" s="649"/>
      <c r="G212" s="649"/>
      <c r="H212" s="649"/>
      <c r="I212" s="649"/>
      <c r="J212" s="649"/>
      <c r="K212" s="649"/>
      <c r="L212" s="649"/>
      <c r="M212" s="649"/>
      <c r="N212" s="649"/>
      <c r="O212" s="649"/>
      <c r="P212" s="649"/>
      <c r="Q212" s="649"/>
      <c r="R212" s="649"/>
      <c r="S212" s="649"/>
      <c r="T212" s="649"/>
      <c r="U212" s="649"/>
      <c r="V212" s="649"/>
    </row>
    <row r="213" spans="1:61" s="449" customFormat="1" ht="30" customHeight="1">
      <c r="A213" s="686" t="s">
        <v>446</v>
      </c>
      <c r="B213" s="452"/>
      <c r="C213" s="452"/>
      <c r="D213" s="452"/>
      <c r="E213" s="452"/>
      <c r="F213" s="452"/>
      <c r="G213" s="452"/>
      <c r="H213" s="452"/>
      <c r="I213" s="452"/>
      <c r="J213" s="452"/>
      <c r="K213" s="452"/>
      <c r="L213" s="452"/>
      <c r="M213" s="452"/>
      <c r="N213" s="452"/>
      <c r="O213" s="452"/>
      <c r="P213" s="686" t="s">
        <v>55</v>
      </c>
      <c r="Q213" s="688"/>
      <c r="R213" s="452"/>
      <c r="S213" s="452" t="s">
        <v>452</v>
      </c>
      <c r="T213" s="452"/>
      <c r="U213" s="452"/>
      <c r="V213" s="452"/>
      <c r="W213" s="452"/>
      <c r="X213" s="452"/>
      <c r="Y213" s="452"/>
      <c r="Z213" s="452"/>
      <c r="AA213" s="452"/>
      <c r="AB213" s="452"/>
      <c r="AC213" s="452"/>
      <c r="AD213" s="452"/>
      <c r="AE213" s="452"/>
      <c r="AF213" s="452"/>
      <c r="AG213" s="452"/>
      <c r="AH213" s="452"/>
      <c r="AI213" s="452"/>
      <c r="AJ213" s="452"/>
      <c r="AK213" s="452"/>
      <c r="AL213" s="452"/>
      <c r="AM213" s="452"/>
      <c r="AN213" s="452"/>
      <c r="AO213" s="452"/>
      <c r="AP213" s="452"/>
      <c r="AQ213" s="452"/>
      <c r="AR213" s="452"/>
      <c r="AS213" s="452"/>
      <c r="AT213" s="452"/>
      <c r="AU213" s="452"/>
      <c r="AV213" s="452"/>
      <c r="AW213" s="452"/>
      <c r="AX213" s="452"/>
      <c r="AY213" s="452"/>
      <c r="AZ213" s="452"/>
      <c r="BA213" s="452"/>
      <c r="BB213" s="452"/>
      <c r="BC213" s="452"/>
      <c r="BD213" s="452"/>
      <c r="BE213" s="452"/>
      <c r="BF213" s="452"/>
      <c r="BG213" s="452"/>
      <c r="BH213" s="452"/>
      <c r="BI213" s="452"/>
    </row>
    <row r="214" spans="1:61" ht="30" customHeight="1" thickBot="1">
      <c r="A214" s="687"/>
      <c r="B214" s="448"/>
      <c r="C214" s="448"/>
      <c r="D214" s="448"/>
      <c r="E214" s="448"/>
      <c r="F214" s="448"/>
      <c r="G214" s="448"/>
      <c r="H214" s="448"/>
      <c r="I214" s="448"/>
      <c r="J214" s="448"/>
      <c r="K214" s="448"/>
      <c r="L214" s="448"/>
      <c r="M214" s="448"/>
      <c r="N214" s="448"/>
      <c r="O214" s="448"/>
      <c r="P214" s="687"/>
      <c r="Q214" s="689"/>
      <c r="R214" s="314"/>
      <c r="S214" s="448">
        <v>2019</v>
      </c>
      <c r="T214" s="448">
        <f>S214+1</f>
        <v>2020</v>
      </c>
      <c r="U214" s="448">
        <f t="shared" ref="U214" si="130">T214+1</f>
        <v>2021</v>
      </c>
      <c r="V214" s="448">
        <f t="shared" ref="V214" si="131">U214+1</f>
        <v>2022</v>
      </c>
      <c r="W214" s="448">
        <f t="shared" ref="W214" si="132">V214+1</f>
        <v>2023</v>
      </c>
      <c r="X214" s="448">
        <f t="shared" ref="X214" si="133">W214+1</f>
        <v>2024</v>
      </c>
      <c r="Y214" s="448">
        <f t="shared" ref="Y214" si="134">X214+1</f>
        <v>2025</v>
      </c>
      <c r="Z214" s="448">
        <f t="shared" ref="Z214" si="135">Y214+1</f>
        <v>2026</v>
      </c>
      <c r="AA214" s="448">
        <f t="shared" ref="AA214" si="136">Z214+1</f>
        <v>2027</v>
      </c>
      <c r="AB214" s="448">
        <f t="shared" ref="AB214" si="137">AA214+1</f>
        <v>2028</v>
      </c>
      <c r="AC214" s="448">
        <f t="shared" ref="AC214" si="138">AB214+1</f>
        <v>2029</v>
      </c>
      <c r="AD214" s="448">
        <f t="shared" ref="AD214" si="139">AC214+1</f>
        <v>2030</v>
      </c>
      <c r="AE214" s="448">
        <f t="shared" ref="AE214" si="140">AD214+1</f>
        <v>2031</v>
      </c>
      <c r="AF214" s="448">
        <f t="shared" ref="AF214" si="141">AE214+1</f>
        <v>2032</v>
      </c>
      <c r="AG214" s="448">
        <f t="shared" ref="AG214" si="142">AF214+1</f>
        <v>2033</v>
      </c>
      <c r="AH214" s="448">
        <f t="shared" ref="AH214" si="143">AG214+1</f>
        <v>2034</v>
      </c>
      <c r="AI214" s="448">
        <f t="shared" ref="AI214" si="144">AH214+1</f>
        <v>2035</v>
      </c>
      <c r="AJ214" s="448">
        <f t="shared" ref="AJ214" si="145">AI214+1</f>
        <v>2036</v>
      </c>
      <c r="AK214" s="448">
        <f t="shared" ref="AK214" si="146">AJ214+1</f>
        <v>2037</v>
      </c>
      <c r="AL214" s="448">
        <f t="shared" ref="AL214" si="147">AK214+1</f>
        <v>2038</v>
      </c>
      <c r="AM214" s="448">
        <f t="shared" ref="AM214" si="148">AL214+1</f>
        <v>2039</v>
      </c>
      <c r="AN214" s="448">
        <f t="shared" ref="AN214" si="149">AM214+1</f>
        <v>2040</v>
      </c>
      <c r="AO214" s="448">
        <f t="shared" ref="AO214" si="150">AN214+1</f>
        <v>2041</v>
      </c>
      <c r="AP214" s="448">
        <f t="shared" ref="AP214" si="151">AO214+1</f>
        <v>2042</v>
      </c>
      <c r="AQ214" s="448">
        <f t="shared" ref="AQ214" si="152">AP214+1</f>
        <v>2043</v>
      </c>
      <c r="AR214" s="448">
        <f t="shared" ref="AR214" si="153">AQ214+1</f>
        <v>2044</v>
      </c>
      <c r="AS214" s="448">
        <f t="shared" ref="AS214" si="154">AR214+1</f>
        <v>2045</v>
      </c>
      <c r="AT214" s="448">
        <f t="shared" ref="AT214" si="155">AS214+1</f>
        <v>2046</v>
      </c>
      <c r="AU214" s="448">
        <f t="shared" ref="AU214" si="156">AT214+1</f>
        <v>2047</v>
      </c>
      <c r="AV214" s="448">
        <f t="shared" ref="AV214" si="157">AU214+1</f>
        <v>2048</v>
      </c>
      <c r="AW214" s="448">
        <f t="shared" ref="AW214" si="158">AV214+1</f>
        <v>2049</v>
      </c>
      <c r="AX214" s="448">
        <f t="shared" ref="AX214" si="159">AW214+1</f>
        <v>2050</v>
      </c>
      <c r="AY214" s="448">
        <f t="shared" ref="AY214" si="160">AX214+1</f>
        <v>2051</v>
      </c>
      <c r="AZ214" s="448">
        <f t="shared" ref="AZ214" si="161">AY214+1</f>
        <v>2052</v>
      </c>
      <c r="BA214" s="448">
        <f t="shared" ref="BA214" si="162">AZ214+1</f>
        <v>2053</v>
      </c>
      <c r="BB214" s="448">
        <f t="shared" ref="BB214" si="163">BA214+1</f>
        <v>2054</v>
      </c>
      <c r="BC214" s="448">
        <f t="shared" ref="BC214" si="164">BB214+1</f>
        <v>2055</v>
      </c>
      <c r="BD214" s="448">
        <f t="shared" ref="BD214" si="165">BC214+1</f>
        <v>2056</v>
      </c>
      <c r="BE214" s="448">
        <f t="shared" ref="BE214" si="166">BD214+1</f>
        <v>2057</v>
      </c>
      <c r="BF214" s="448">
        <f t="shared" ref="BF214" si="167">BE214+1</f>
        <v>2058</v>
      </c>
      <c r="BG214" s="448">
        <f t="shared" ref="BG214" si="168">BF214+1</f>
        <v>2059</v>
      </c>
      <c r="BH214" s="448">
        <f t="shared" ref="BH214" si="169">BG214+1</f>
        <v>2060</v>
      </c>
      <c r="BI214" s="448">
        <f t="shared" ref="BI214" si="170">BH214+1</f>
        <v>2061</v>
      </c>
    </row>
    <row r="215" spans="1:61" ht="30">
      <c r="A215" s="309" t="s">
        <v>56</v>
      </c>
      <c r="B215" s="309" t="s">
        <v>57</v>
      </c>
      <c r="C215" s="311"/>
      <c r="D215" s="311"/>
      <c r="E215" s="311"/>
      <c r="F215" s="311"/>
      <c r="G215" s="311"/>
      <c r="H215" s="311"/>
      <c r="I215" s="311"/>
      <c r="J215" s="311"/>
      <c r="K215" s="311"/>
      <c r="L215" s="311"/>
      <c r="M215" s="311"/>
      <c r="N215" s="311"/>
      <c r="O215" s="311"/>
      <c r="P215" s="143">
        <f t="shared" ref="P215:P220" si="171">P189*$B$200</f>
        <v>0.50277777777777777</v>
      </c>
      <c r="Q215" s="133"/>
      <c r="R215" s="133"/>
      <c r="S215" s="133">
        <f t="shared" ref="S215:S220" si="172">$Q189+$P215*S$178</f>
        <v>489.49722222222221</v>
      </c>
      <c r="T215" s="133">
        <f t="shared" ref="T215:BI215" si="173">$Q189+$P215*T$178</f>
        <v>467.10342236781923</v>
      </c>
      <c r="U215" s="133">
        <f t="shared" si="173"/>
        <v>464.197920735031</v>
      </c>
      <c r="V215" s="133">
        <f t="shared" si="173"/>
        <v>461.29241910224277</v>
      </c>
      <c r="W215" s="133">
        <f t="shared" si="173"/>
        <v>458.3869174694546</v>
      </c>
      <c r="X215" s="133">
        <f t="shared" si="173"/>
        <v>455.48141583666637</v>
      </c>
      <c r="Y215" s="133">
        <f t="shared" si="173"/>
        <v>452.57591420387803</v>
      </c>
      <c r="Z215" s="133">
        <f t="shared" si="173"/>
        <v>445.88712744232453</v>
      </c>
      <c r="AA215" s="133">
        <f t="shared" si="173"/>
        <v>439.19834068077108</v>
      </c>
      <c r="AB215" s="133">
        <f t="shared" si="173"/>
        <v>432.50955391921758</v>
      </c>
      <c r="AC215" s="133">
        <f t="shared" si="173"/>
        <v>425.82076715766408</v>
      </c>
      <c r="AD215" s="133">
        <f t="shared" si="173"/>
        <v>419.13198039611058</v>
      </c>
      <c r="AE215" s="133">
        <f t="shared" si="173"/>
        <v>405.79326131759132</v>
      </c>
      <c r="AF215" s="133">
        <f t="shared" si="173"/>
        <v>392.45454223907205</v>
      </c>
      <c r="AG215" s="133">
        <f t="shared" si="173"/>
        <v>379.11582316055285</v>
      </c>
      <c r="AH215" s="133">
        <f t="shared" si="173"/>
        <v>365.77710408203359</v>
      </c>
      <c r="AI215" s="133">
        <f t="shared" si="173"/>
        <v>352.43838500351438</v>
      </c>
      <c r="AJ215" s="133">
        <f t="shared" si="173"/>
        <v>345.08911746370666</v>
      </c>
      <c r="AK215" s="133">
        <f t="shared" si="173"/>
        <v>337.73984992389887</v>
      </c>
      <c r="AL215" s="133">
        <f t="shared" si="173"/>
        <v>330.39058238409109</v>
      </c>
      <c r="AM215" s="133">
        <f t="shared" si="173"/>
        <v>323.04131484428331</v>
      </c>
      <c r="AN215" s="133">
        <f t="shared" si="173"/>
        <v>315.69204730447564</v>
      </c>
      <c r="AO215" s="133">
        <f t="shared" si="173"/>
        <v>315.69204730447564</v>
      </c>
      <c r="AP215" s="133">
        <f t="shared" si="173"/>
        <v>315.69204730447564</v>
      </c>
      <c r="AQ215" s="133">
        <f t="shared" si="173"/>
        <v>315.69204730447564</v>
      </c>
      <c r="AR215" s="133">
        <f t="shared" si="173"/>
        <v>315.69204730447564</v>
      </c>
      <c r="AS215" s="133">
        <f t="shared" si="173"/>
        <v>315.69204730447564</v>
      </c>
      <c r="AT215" s="133">
        <f t="shared" si="173"/>
        <v>315.69204730447564</v>
      </c>
      <c r="AU215" s="133">
        <f t="shared" si="173"/>
        <v>315.69204730447564</v>
      </c>
      <c r="AV215" s="133">
        <f t="shared" si="173"/>
        <v>315.69204730447564</v>
      </c>
      <c r="AW215" s="133">
        <f t="shared" si="173"/>
        <v>315.69204730447564</v>
      </c>
      <c r="AX215" s="133">
        <f t="shared" si="173"/>
        <v>315.69204730447564</v>
      </c>
      <c r="AY215" s="133">
        <f t="shared" si="173"/>
        <v>315.69204730447564</v>
      </c>
      <c r="AZ215" s="133">
        <f t="shared" si="173"/>
        <v>315.69204730447564</v>
      </c>
      <c r="BA215" s="133">
        <f t="shared" si="173"/>
        <v>315.69204730447564</v>
      </c>
      <c r="BB215" s="133">
        <f t="shared" si="173"/>
        <v>315.69204730447564</v>
      </c>
      <c r="BC215" s="133">
        <f t="shared" si="173"/>
        <v>315.69204730447564</v>
      </c>
      <c r="BD215" s="133">
        <f t="shared" si="173"/>
        <v>315.69204730447564</v>
      </c>
      <c r="BE215" s="133">
        <f t="shared" si="173"/>
        <v>315.69204730447564</v>
      </c>
      <c r="BF215" s="133">
        <f t="shared" si="173"/>
        <v>315.69204730447564</v>
      </c>
      <c r="BG215" s="133">
        <f t="shared" si="173"/>
        <v>315.69204730447564</v>
      </c>
      <c r="BH215" s="133">
        <f t="shared" si="173"/>
        <v>315.69204730447564</v>
      </c>
      <c r="BI215" s="133">
        <f t="shared" si="173"/>
        <v>315.69204730447564</v>
      </c>
    </row>
    <row r="216" spans="1:61" ht="30">
      <c r="A216" s="309" t="str">
        <f>A215</f>
        <v>Samochód osobowy, hybrydowy benzyna +elektryczny</v>
      </c>
      <c r="B216" s="309" t="s">
        <v>58</v>
      </c>
      <c r="C216" s="311"/>
      <c r="D216" s="311"/>
      <c r="E216" s="311"/>
      <c r="F216" s="311"/>
      <c r="G216" s="311"/>
      <c r="H216" s="311"/>
      <c r="I216" s="311"/>
      <c r="J216" s="311"/>
      <c r="K216" s="311"/>
      <c r="L216" s="311"/>
      <c r="M216" s="311"/>
      <c r="N216" s="311"/>
      <c r="O216" s="311"/>
      <c r="P216" s="143">
        <f t="shared" si="171"/>
        <v>0.65833333333333344</v>
      </c>
      <c r="Q216" s="133"/>
      <c r="R216" s="133"/>
      <c r="S216" s="133">
        <f t="shared" si="172"/>
        <v>641.3416666666667</v>
      </c>
      <c r="T216" s="133">
        <f t="shared" ref="T216:BI216" si="174">$Q190+$P216*T$178</f>
        <v>612.01939834902305</v>
      </c>
      <c r="U216" s="133">
        <f t="shared" si="174"/>
        <v>608.21495698454351</v>
      </c>
      <c r="V216" s="133">
        <f t="shared" si="174"/>
        <v>604.41051562006385</v>
      </c>
      <c r="W216" s="133">
        <f t="shared" si="174"/>
        <v>600.60607425558419</v>
      </c>
      <c r="X216" s="133">
        <f t="shared" si="174"/>
        <v>596.80163289110465</v>
      </c>
      <c r="Y216" s="133">
        <f t="shared" si="174"/>
        <v>592.99719152662487</v>
      </c>
      <c r="Z216" s="133">
        <f t="shared" si="174"/>
        <v>584.23894587751897</v>
      </c>
      <c r="AA216" s="133">
        <f t="shared" si="174"/>
        <v>575.48070022841307</v>
      </c>
      <c r="AB216" s="133">
        <f t="shared" si="174"/>
        <v>566.72245457930705</v>
      </c>
      <c r="AC216" s="133">
        <f t="shared" si="174"/>
        <v>557.96420893020104</v>
      </c>
      <c r="AD216" s="133">
        <f t="shared" si="174"/>
        <v>549.20596328109514</v>
      </c>
      <c r="AE216" s="133">
        <f t="shared" si="174"/>
        <v>531.7403476920947</v>
      </c>
      <c r="AF216" s="133">
        <f t="shared" si="174"/>
        <v>514.27473210309449</v>
      </c>
      <c r="AG216" s="133">
        <f t="shared" si="174"/>
        <v>496.80911651409411</v>
      </c>
      <c r="AH216" s="133">
        <f t="shared" si="174"/>
        <v>479.34350092509379</v>
      </c>
      <c r="AI216" s="133">
        <f t="shared" si="174"/>
        <v>461.87788533609347</v>
      </c>
      <c r="AJ216" s="133">
        <f t="shared" si="174"/>
        <v>452.25481126463251</v>
      </c>
      <c r="AK216" s="133">
        <f t="shared" si="174"/>
        <v>442.63173719317149</v>
      </c>
      <c r="AL216" s="133">
        <f t="shared" si="174"/>
        <v>433.00866312171053</v>
      </c>
      <c r="AM216" s="133">
        <f t="shared" si="174"/>
        <v>423.38558905024951</v>
      </c>
      <c r="AN216" s="133">
        <f t="shared" si="174"/>
        <v>413.76251497878854</v>
      </c>
      <c r="AO216" s="133">
        <f t="shared" si="174"/>
        <v>413.76251497878854</v>
      </c>
      <c r="AP216" s="133">
        <f t="shared" si="174"/>
        <v>413.76251497878854</v>
      </c>
      <c r="AQ216" s="133">
        <f t="shared" si="174"/>
        <v>413.76251497878854</v>
      </c>
      <c r="AR216" s="133">
        <f t="shared" si="174"/>
        <v>413.76251497878854</v>
      </c>
      <c r="AS216" s="133">
        <f t="shared" si="174"/>
        <v>413.76251497878854</v>
      </c>
      <c r="AT216" s="133">
        <f t="shared" si="174"/>
        <v>413.76251497878854</v>
      </c>
      <c r="AU216" s="133">
        <f t="shared" si="174"/>
        <v>413.76251497878854</v>
      </c>
      <c r="AV216" s="133">
        <f t="shared" si="174"/>
        <v>413.76251497878854</v>
      </c>
      <c r="AW216" s="133">
        <f t="shared" si="174"/>
        <v>413.76251497878854</v>
      </c>
      <c r="AX216" s="133">
        <f t="shared" si="174"/>
        <v>413.76251497878854</v>
      </c>
      <c r="AY216" s="133">
        <f t="shared" si="174"/>
        <v>413.76251497878854</v>
      </c>
      <c r="AZ216" s="133">
        <f t="shared" si="174"/>
        <v>413.76251497878854</v>
      </c>
      <c r="BA216" s="133">
        <f t="shared" si="174"/>
        <v>413.76251497878854</v>
      </c>
      <c r="BB216" s="133">
        <f t="shared" si="174"/>
        <v>413.76251497878854</v>
      </c>
      <c r="BC216" s="133">
        <f t="shared" si="174"/>
        <v>413.76251497878854</v>
      </c>
      <c r="BD216" s="133">
        <f t="shared" si="174"/>
        <v>413.76251497878854</v>
      </c>
      <c r="BE216" s="133">
        <f t="shared" si="174"/>
        <v>413.76251497878854</v>
      </c>
      <c r="BF216" s="133">
        <f t="shared" si="174"/>
        <v>413.76251497878854</v>
      </c>
      <c r="BG216" s="133">
        <f t="shared" si="174"/>
        <v>413.76251497878854</v>
      </c>
      <c r="BH216" s="133">
        <f t="shared" si="174"/>
        <v>413.76251497878854</v>
      </c>
      <c r="BI216" s="133">
        <f t="shared" si="174"/>
        <v>413.76251497878854</v>
      </c>
    </row>
    <row r="217" spans="1:61" ht="30">
      <c r="A217" s="309" t="s">
        <v>59</v>
      </c>
      <c r="B217" s="309" t="s">
        <v>57</v>
      </c>
      <c r="C217" s="311"/>
      <c r="D217" s="311"/>
      <c r="E217" s="311"/>
      <c r="F217" s="311"/>
      <c r="G217" s="311"/>
      <c r="H217" s="311"/>
      <c r="I217" s="311"/>
      <c r="J217" s="311"/>
      <c r="K217" s="311"/>
      <c r="L217" s="311"/>
      <c r="M217" s="311"/>
      <c r="N217" s="311"/>
      <c r="O217" s="311"/>
      <c r="P217" s="143">
        <f t="shared" si="171"/>
        <v>0.23333333333333334</v>
      </c>
      <c r="Q217" s="133"/>
      <c r="R217" s="133"/>
      <c r="S217" s="133">
        <f t="shared" si="172"/>
        <v>167.76666666666668</v>
      </c>
      <c r="T217" s="133">
        <f t="shared" ref="T217:BI217" si="175">$Q191+$P217*T$178</f>
        <v>157.37396397180561</v>
      </c>
      <c r="U217" s="133">
        <f t="shared" si="175"/>
        <v>156.02555437426855</v>
      </c>
      <c r="V217" s="133">
        <f t="shared" si="175"/>
        <v>154.67714477673147</v>
      </c>
      <c r="W217" s="133">
        <f t="shared" si="175"/>
        <v>153.32873517919438</v>
      </c>
      <c r="X217" s="133">
        <f t="shared" si="175"/>
        <v>151.98032558165733</v>
      </c>
      <c r="Y217" s="133">
        <f t="shared" si="175"/>
        <v>150.63191598412018</v>
      </c>
      <c r="Z217" s="133">
        <f t="shared" si="175"/>
        <v>147.5277276527915</v>
      </c>
      <c r="AA217" s="133">
        <f t="shared" si="175"/>
        <v>144.42353932146281</v>
      </c>
      <c r="AB217" s="133">
        <f t="shared" si="175"/>
        <v>141.31935099013413</v>
      </c>
      <c r="AC217" s="133">
        <f t="shared" si="175"/>
        <v>138.21516265880544</v>
      </c>
      <c r="AD217" s="133">
        <f t="shared" si="175"/>
        <v>135.11097432747673</v>
      </c>
      <c r="AE217" s="133">
        <f t="shared" si="175"/>
        <v>128.92062956175508</v>
      </c>
      <c r="AF217" s="133">
        <f t="shared" si="175"/>
        <v>122.73028479603346</v>
      </c>
      <c r="AG217" s="133">
        <f t="shared" si="175"/>
        <v>116.53994003031181</v>
      </c>
      <c r="AH217" s="133">
        <f t="shared" si="175"/>
        <v>110.34959526459018</v>
      </c>
      <c r="AI217" s="133">
        <f t="shared" si="175"/>
        <v>104.15925049886856</v>
      </c>
      <c r="AJ217" s="133">
        <f t="shared" si="175"/>
        <v>100.74854070138872</v>
      </c>
      <c r="AK217" s="133">
        <f t="shared" si="175"/>
        <v>97.337830903908866</v>
      </c>
      <c r="AL217" s="133">
        <f t="shared" si="175"/>
        <v>93.927121106429027</v>
      </c>
      <c r="AM217" s="133">
        <f t="shared" si="175"/>
        <v>90.516411308949188</v>
      </c>
      <c r="AN217" s="133">
        <f t="shared" si="175"/>
        <v>87.105701511469348</v>
      </c>
      <c r="AO217" s="133">
        <f t="shared" si="175"/>
        <v>87.105701511469348</v>
      </c>
      <c r="AP217" s="133">
        <f t="shared" si="175"/>
        <v>87.105701511469348</v>
      </c>
      <c r="AQ217" s="133">
        <f t="shared" si="175"/>
        <v>87.105701511469348</v>
      </c>
      <c r="AR217" s="133">
        <f t="shared" si="175"/>
        <v>87.105701511469348</v>
      </c>
      <c r="AS217" s="133">
        <f t="shared" si="175"/>
        <v>87.105701511469348</v>
      </c>
      <c r="AT217" s="133">
        <f t="shared" si="175"/>
        <v>87.105701511469348</v>
      </c>
      <c r="AU217" s="133">
        <f t="shared" si="175"/>
        <v>87.105701511469348</v>
      </c>
      <c r="AV217" s="133">
        <f t="shared" si="175"/>
        <v>87.105701511469348</v>
      </c>
      <c r="AW217" s="133">
        <f t="shared" si="175"/>
        <v>87.105701511469348</v>
      </c>
      <c r="AX217" s="133">
        <f t="shared" si="175"/>
        <v>87.105701511469348</v>
      </c>
      <c r="AY217" s="133">
        <f t="shared" si="175"/>
        <v>87.105701511469348</v>
      </c>
      <c r="AZ217" s="133">
        <f t="shared" si="175"/>
        <v>87.105701511469348</v>
      </c>
      <c r="BA217" s="133">
        <f t="shared" si="175"/>
        <v>87.105701511469348</v>
      </c>
      <c r="BB217" s="133">
        <f t="shared" si="175"/>
        <v>87.105701511469348</v>
      </c>
      <c r="BC217" s="133">
        <f t="shared" si="175"/>
        <v>87.105701511469348</v>
      </c>
      <c r="BD217" s="133">
        <f t="shared" si="175"/>
        <v>87.105701511469348</v>
      </c>
      <c r="BE217" s="133">
        <f t="shared" si="175"/>
        <v>87.105701511469348</v>
      </c>
      <c r="BF217" s="133">
        <f t="shared" si="175"/>
        <v>87.105701511469348</v>
      </c>
      <c r="BG217" s="133">
        <f t="shared" si="175"/>
        <v>87.105701511469348</v>
      </c>
      <c r="BH217" s="133">
        <f t="shared" si="175"/>
        <v>87.105701511469348</v>
      </c>
      <c r="BI217" s="133">
        <f t="shared" si="175"/>
        <v>87.105701511469348</v>
      </c>
    </row>
    <row r="218" spans="1:61" ht="30">
      <c r="A218" s="309" t="s">
        <v>59</v>
      </c>
      <c r="B218" s="309" t="s">
        <v>58</v>
      </c>
      <c r="C218" s="311"/>
      <c r="D218" s="311"/>
      <c r="E218" s="311"/>
      <c r="F218" s="311"/>
      <c r="G218" s="311"/>
      <c r="H218" s="311"/>
      <c r="I218" s="311"/>
      <c r="J218" s="311"/>
      <c r="K218" s="311"/>
      <c r="L218" s="311"/>
      <c r="M218" s="311"/>
      <c r="N218" s="311"/>
      <c r="O218" s="311"/>
      <c r="P218" s="143">
        <f t="shared" si="171"/>
        <v>0.20277777777777778</v>
      </c>
      <c r="Q218" s="133"/>
      <c r="R218" s="133"/>
      <c r="S218" s="133">
        <f t="shared" si="172"/>
        <v>145.79722222222222</v>
      </c>
      <c r="T218" s="133">
        <f t="shared" ref="T218:BI218" si="176">$Q192+$P218*T$178</f>
        <v>136.76546868978346</v>
      </c>
      <c r="U218" s="133">
        <f t="shared" si="176"/>
        <v>135.5936365395429</v>
      </c>
      <c r="V218" s="133">
        <f t="shared" si="176"/>
        <v>134.42180438930234</v>
      </c>
      <c r="W218" s="133">
        <f t="shared" si="176"/>
        <v>133.2499722390618</v>
      </c>
      <c r="X218" s="133">
        <f t="shared" si="176"/>
        <v>132.07814008882124</v>
      </c>
      <c r="Y218" s="133">
        <f t="shared" si="176"/>
        <v>130.90630793858065</v>
      </c>
      <c r="Z218" s="133">
        <f t="shared" si="176"/>
        <v>128.20862046016404</v>
      </c>
      <c r="AA218" s="133">
        <f t="shared" si="176"/>
        <v>125.51093298174744</v>
      </c>
      <c r="AB218" s="133">
        <f t="shared" si="176"/>
        <v>122.81324550333085</v>
      </c>
      <c r="AC218" s="133">
        <f t="shared" si="176"/>
        <v>120.11555802491425</v>
      </c>
      <c r="AD218" s="133">
        <f t="shared" si="176"/>
        <v>117.41787054649762</v>
      </c>
      <c r="AE218" s="133">
        <f t="shared" si="176"/>
        <v>112.03816616676335</v>
      </c>
      <c r="AF218" s="133">
        <f t="shared" si="176"/>
        <v>106.65846178702907</v>
      </c>
      <c r="AG218" s="133">
        <f t="shared" si="176"/>
        <v>101.27875740729479</v>
      </c>
      <c r="AH218" s="133">
        <f t="shared" si="176"/>
        <v>95.899053027560512</v>
      </c>
      <c r="AI218" s="133">
        <f t="shared" si="176"/>
        <v>90.519348647826249</v>
      </c>
      <c r="AJ218" s="133">
        <f t="shared" si="176"/>
        <v>87.555279419064007</v>
      </c>
      <c r="AK218" s="133">
        <f t="shared" si="176"/>
        <v>84.591210190301751</v>
      </c>
      <c r="AL218" s="133">
        <f t="shared" si="176"/>
        <v>81.62714096153951</v>
      </c>
      <c r="AM218" s="133">
        <f t="shared" si="176"/>
        <v>78.663071732777269</v>
      </c>
      <c r="AN218" s="133">
        <f t="shared" si="176"/>
        <v>75.699002504015027</v>
      </c>
      <c r="AO218" s="133">
        <f t="shared" si="176"/>
        <v>75.699002504015027</v>
      </c>
      <c r="AP218" s="133">
        <f t="shared" si="176"/>
        <v>75.699002504015027</v>
      </c>
      <c r="AQ218" s="133">
        <f t="shared" si="176"/>
        <v>75.699002504015027</v>
      </c>
      <c r="AR218" s="133">
        <f t="shared" si="176"/>
        <v>75.699002504015027</v>
      </c>
      <c r="AS218" s="133">
        <f t="shared" si="176"/>
        <v>75.699002504015027</v>
      </c>
      <c r="AT218" s="133">
        <f t="shared" si="176"/>
        <v>75.699002504015027</v>
      </c>
      <c r="AU218" s="133">
        <f t="shared" si="176"/>
        <v>75.699002504015027</v>
      </c>
      <c r="AV218" s="133">
        <f t="shared" si="176"/>
        <v>75.699002504015027</v>
      </c>
      <c r="AW218" s="133">
        <f t="shared" si="176"/>
        <v>75.699002504015027</v>
      </c>
      <c r="AX218" s="133">
        <f t="shared" si="176"/>
        <v>75.699002504015027</v>
      </c>
      <c r="AY218" s="133">
        <f t="shared" si="176"/>
        <v>75.699002504015027</v>
      </c>
      <c r="AZ218" s="133">
        <f t="shared" si="176"/>
        <v>75.699002504015027</v>
      </c>
      <c r="BA218" s="133">
        <f t="shared" si="176"/>
        <v>75.699002504015027</v>
      </c>
      <c r="BB218" s="133">
        <f t="shared" si="176"/>
        <v>75.699002504015027</v>
      </c>
      <c r="BC218" s="133">
        <f t="shared" si="176"/>
        <v>75.699002504015027</v>
      </c>
      <c r="BD218" s="133">
        <f t="shared" si="176"/>
        <v>75.699002504015027</v>
      </c>
      <c r="BE218" s="133">
        <f t="shared" si="176"/>
        <v>75.699002504015027</v>
      </c>
      <c r="BF218" s="133">
        <f t="shared" si="176"/>
        <v>75.699002504015027</v>
      </c>
      <c r="BG218" s="133">
        <f t="shared" si="176"/>
        <v>75.699002504015027</v>
      </c>
      <c r="BH218" s="133">
        <f t="shared" si="176"/>
        <v>75.699002504015027</v>
      </c>
      <c r="BI218" s="133">
        <f t="shared" si="176"/>
        <v>75.699002504015027</v>
      </c>
    </row>
    <row r="219" spans="1:61" ht="45">
      <c r="A219" s="309" t="s">
        <v>61</v>
      </c>
      <c r="B219" s="309" t="s">
        <v>57</v>
      </c>
      <c r="C219" s="311"/>
      <c r="D219" s="311"/>
      <c r="E219" s="311"/>
      <c r="F219" s="311"/>
      <c r="G219" s="311"/>
      <c r="H219" s="311"/>
      <c r="I219" s="311"/>
      <c r="J219" s="311"/>
      <c r="K219" s="311"/>
      <c r="L219" s="311"/>
      <c r="M219" s="311"/>
      <c r="N219" s="311"/>
      <c r="O219" s="311"/>
      <c r="P219" s="143">
        <f t="shared" si="171"/>
        <v>3.1722222222222225</v>
      </c>
      <c r="Q219" s="133"/>
      <c r="R219" s="133"/>
      <c r="S219" s="133">
        <f t="shared" si="172"/>
        <v>3089.827777777778</v>
      </c>
      <c r="T219" s="133">
        <f t="shared" ref="T219:BI219" si="177">$Q193+$P219*T$178</f>
        <v>2948.5365101881193</v>
      </c>
      <c r="U219" s="133">
        <f t="shared" si="177"/>
        <v>2930.2045606596989</v>
      </c>
      <c r="V219" s="133">
        <f t="shared" si="177"/>
        <v>2911.8726111312781</v>
      </c>
      <c r="W219" s="133">
        <f t="shared" si="177"/>
        <v>2893.5406616028572</v>
      </c>
      <c r="X219" s="133">
        <f t="shared" si="177"/>
        <v>2875.2087120744368</v>
      </c>
      <c r="Y219" s="133">
        <f t="shared" si="177"/>
        <v>2856.876762546015</v>
      </c>
      <c r="Z219" s="133">
        <f t="shared" si="177"/>
        <v>2814.6745830891418</v>
      </c>
      <c r="AA219" s="133">
        <f t="shared" si="177"/>
        <v>2772.4724036322687</v>
      </c>
      <c r="AB219" s="133">
        <f t="shared" si="177"/>
        <v>2730.270224175395</v>
      </c>
      <c r="AC219" s="133">
        <f t="shared" si="177"/>
        <v>2688.0680447185214</v>
      </c>
      <c r="AD219" s="133">
        <f t="shared" si="177"/>
        <v>2645.8658652616477</v>
      </c>
      <c r="AE219" s="133">
        <f t="shared" si="177"/>
        <v>2561.7066542800512</v>
      </c>
      <c r="AF219" s="133">
        <f t="shared" si="177"/>
        <v>2477.5474432984547</v>
      </c>
      <c r="AG219" s="133">
        <f t="shared" si="177"/>
        <v>2393.3882323168582</v>
      </c>
      <c r="AH219" s="133">
        <f t="shared" si="177"/>
        <v>2309.2290213352617</v>
      </c>
      <c r="AI219" s="133">
        <f t="shared" si="177"/>
        <v>2225.0698103536652</v>
      </c>
      <c r="AJ219" s="133">
        <f t="shared" si="177"/>
        <v>2178.7003985831657</v>
      </c>
      <c r="AK219" s="133">
        <f t="shared" si="177"/>
        <v>2132.3309868126662</v>
      </c>
      <c r="AL219" s="133">
        <f t="shared" si="177"/>
        <v>2085.9615750421663</v>
      </c>
      <c r="AM219" s="133">
        <f t="shared" si="177"/>
        <v>2039.5921632716663</v>
      </c>
      <c r="AN219" s="133">
        <f t="shared" si="177"/>
        <v>1993.2227515011668</v>
      </c>
      <c r="AO219" s="133">
        <f t="shared" si="177"/>
        <v>1993.2227515011668</v>
      </c>
      <c r="AP219" s="133">
        <f t="shared" si="177"/>
        <v>1993.2227515011668</v>
      </c>
      <c r="AQ219" s="133">
        <f t="shared" si="177"/>
        <v>1993.2227515011668</v>
      </c>
      <c r="AR219" s="133">
        <f t="shared" si="177"/>
        <v>1993.2227515011668</v>
      </c>
      <c r="AS219" s="133">
        <f t="shared" si="177"/>
        <v>1993.2227515011668</v>
      </c>
      <c r="AT219" s="133">
        <f t="shared" si="177"/>
        <v>1993.2227515011668</v>
      </c>
      <c r="AU219" s="133">
        <f t="shared" si="177"/>
        <v>1993.2227515011668</v>
      </c>
      <c r="AV219" s="133">
        <f t="shared" si="177"/>
        <v>1993.2227515011668</v>
      </c>
      <c r="AW219" s="133">
        <f t="shared" si="177"/>
        <v>1993.2227515011668</v>
      </c>
      <c r="AX219" s="133">
        <f t="shared" si="177"/>
        <v>1993.2227515011668</v>
      </c>
      <c r="AY219" s="133">
        <f t="shared" si="177"/>
        <v>1993.2227515011668</v>
      </c>
      <c r="AZ219" s="133">
        <f t="shared" si="177"/>
        <v>1993.2227515011668</v>
      </c>
      <c r="BA219" s="133">
        <f t="shared" si="177"/>
        <v>1993.2227515011668</v>
      </c>
      <c r="BB219" s="133">
        <f t="shared" si="177"/>
        <v>1993.2227515011668</v>
      </c>
      <c r="BC219" s="133">
        <f t="shared" si="177"/>
        <v>1993.2227515011668</v>
      </c>
      <c r="BD219" s="133">
        <f t="shared" si="177"/>
        <v>1993.2227515011668</v>
      </c>
      <c r="BE219" s="133">
        <f t="shared" si="177"/>
        <v>1993.2227515011668</v>
      </c>
      <c r="BF219" s="133">
        <f t="shared" si="177"/>
        <v>1993.2227515011668</v>
      </c>
      <c r="BG219" s="133">
        <f t="shared" si="177"/>
        <v>1993.2227515011668</v>
      </c>
      <c r="BH219" s="133">
        <f t="shared" si="177"/>
        <v>1993.2227515011668</v>
      </c>
      <c r="BI219" s="133">
        <f t="shared" si="177"/>
        <v>1993.2227515011668</v>
      </c>
    </row>
    <row r="220" spans="1:61" ht="30">
      <c r="A220" s="310" t="s">
        <v>62</v>
      </c>
      <c r="B220" s="310" t="s">
        <v>57</v>
      </c>
      <c r="C220" s="312"/>
      <c r="D220" s="312"/>
      <c r="E220" s="312"/>
      <c r="F220" s="312"/>
      <c r="G220" s="312"/>
      <c r="H220" s="312"/>
      <c r="I220" s="312"/>
      <c r="J220" s="312"/>
      <c r="K220" s="312"/>
      <c r="L220" s="312"/>
      <c r="M220" s="312"/>
      <c r="N220" s="312"/>
      <c r="O220" s="312"/>
      <c r="P220" s="144">
        <f t="shared" si="171"/>
        <v>2.1750000000000003</v>
      </c>
      <c r="Q220" s="138"/>
      <c r="R220" s="138"/>
      <c r="S220" s="138">
        <f t="shared" si="172"/>
        <v>1563.8250000000003</v>
      </c>
      <c r="T220" s="138">
        <f t="shared" ref="T220:BI220" si="178">$Q194+$P220*T$178</f>
        <v>1466.9501641657598</v>
      </c>
      <c r="U220" s="138">
        <f t="shared" si="178"/>
        <v>1454.3810604172891</v>
      </c>
      <c r="V220" s="138">
        <f t="shared" si="178"/>
        <v>1441.8119566688185</v>
      </c>
      <c r="W220" s="138">
        <f t="shared" si="178"/>
        <v>1429.242852920348</v>
      </c>
      <c r="X220" s="138">
        <f t="shared" si="178"/>
        <v>1416.6737491718773</v>
      </c>
      <c r="Y220" s="138">
        <f t="shared" si="178"/>
        <v>1404.1046454234063</v>
      </c>
      <c r="Z220" s="138">
        <f t="shared" si="178"/>
        <v>1375.1691756206637</v>
      </c>
      <c r="AA220" s="138">
        <f t="shared" si="178"/>
        <v>1346.2337058179214</v>
      </c>
      <c r="AB220" s="138">
        <f t="shared" si="178"/>
        <v>1317.2982360151789</v>
      </c>
      <c r="AC220" s="138">
        <f t="shared" si="178"/>
        <v>1288.3627662124366</v>
      </c>
      <c r="AD220" s="138">
        <f t="shared" si="178"/>
        <v>1259.427296409694</v>
      </c>
      <c r="AE220" s="138">
        <f t="shared" si="178"/>
        <v>1201.724439843503</v>
      </c>
      <c r="AF220" s="138">
        <f t="shared" si="178"/>
        <v>1144.0215832773119</v>
      </c>
      <c r="AG220" s="138">
        <f t="shared" si="178"/>
        <v>1086.3187267111209</v>
      </c>
      <c r="AH220" s="138">
        <f t="shared" si="178"/>
        <v>1028.6158701449301</v>
      </c>
      <c r="AI220" s="138">
        <f t="shared" si="178"/>
        <v>970.9130135787392</v>
      </c>
      <c r="AJ220" s="138">
        <f t="shared" si="178"/>
        <v>939.12032582365919</v>
      </c>
      <c r="AK220" s="138">
        <f t="shared" si="178"/>
        <v>907.32763806857918</v>
      </c>
      <c r="AL220" s="138">
        <f t="shared" si="178"/>
        <v>875.53495031349928</v>
      </c>
      <c r="AM220" s="138">
        <f t="shared" si="178"/>
        <v>843.74226255841927</v>
      </c>
      <c r="AN220" s="138">
        <f t="shared" si="178"/>
        <v>811.94957480333937</v>
      </c>
      <c r="AO220" s="138">
        <f t="shared" si="178"/>
        <v>811.94957480333937</v>
      </c>
      <c r="AP220" s="138">
        <f t="shared" si="178"/>
        <v>811.94957480333937</v>
      </c>
      <c r="AQ220" s="138">
        <f t="shared" si="178"/>
        <v>811.94957480333937</v>
      </c>
      <c r="AR220" s="138">
        <f t="shared" si="178"/>
        <v>811.94957480333937</v>
      </c>
      <c r="AS220" s="138">
        <f t="shared" si="178"/>
        <v>811.94957480333937</v>
      </c>
      <c r="AT220" s="138">
        <f t="shared" si="178"/>
        <v>811.94957480333937</v>
      </c>
      <c r="AU220" s="138">
        <f t="shared" si="178"/>
        <v>811.94957480333937</v>
      </c>
      <c r="AV220" s="138">
        <f t="shared" si="178"/>
        <v>811.94957480333937</v>
      </c>
      <c r="AW220" s="138">
        <f t="shared" si="178"/>
        <v>811.94957480333937</v>
      </c>
      <c r="AX220" s="138">
        <f t="shared" si="178"/>
        <v>811.94957480333937</v>
      </c>
      <c r="AY220" s="138">
        <f t="shared" si="178"/>
        <v>811.94957480333937</v>
      </c>
      <c r="AZ220" s="138">
        <f t="shared" si="178"/>
        <v>811.94957480333937</v>
      </c>
      <c r="BA220" s="138">
        <f t="shared" si="178"/>
        <v>811.94957480333937</v>
      </c>
      <c r="BB220" s="138">
        <f t="shared" si="178"/>
        <v>811.94957480333937</v>
      </c>
      <c r="BC220" s="138">
        <f t="shared" si="178"/>
        <v>811.94957480333937</v>
      </c>
      <c r="BD220" s="138">
        <f t="shared" si="178"/>
        <v>811.94957480333937</v>
      </c>
      <c r="BE220" s="138">
        <f t="shared" si="178"/>
        <v>811.94957480333937</v>
      </c>
      <c r="BF220" s="138">
        <f t="shared" si="178"/>
        <v>811.94957480333937</v>
      </c>
      <c r="BG220" s="138">
        <f t="shared" si="178"/>
        <v>811.94957480333937</v>
      </c>
      <c r="BH220" s="138">
        <f t="shared" si="178"/>
        <v>811.94957480333937</v>
      </c>
      <c r="BI220" s="138">
        <f t="shared" si="178"/>
        <v>811.94957480333937</v>
      </c>
    </row>
    <row r="221" spans="1:61"/>
    <row r="222" spans="1:61" ht="15.75" thickBot="1">
      <c r="A222" s="189" t="s">
        <v>103</v>
      </c>
      <c r="B222" s="311"/>
      <c r="C222" s="311"/>
      <c r="D222" s="311"/>
      <c r="E222" s="311"/>
      <c r="F222" s="311"/>
      <c r="G222" s="311"/>
      <c r="H222" s="311"/>
      <c r="I222" s="311"/>
      <c r="J222" s="311"/>
      <c r="K222" s="311"/>
      <c r="L222" s="311"/>
      <c r="M222" s="311"/>
      <c r="N222" s="311"/>
      <c r="O222" s="311"/>
      <c r="P222" s="311"/>
      <c r="Q222" s="311"/>
      <c r="R222" s="311"/>
      <c r="S222" s="311"/>
      <c r="T222" s="311"/>
      <c r="U222" s="311"/>
      <c r="V222" s="311"/>
      <c r="W222" s="311"/>
      <c r="X222" s="311"/>
      <c r="Y222" s="311"/>
    </row>
    <row r="223" spans="1:61">
      <c r="A223" s="311"/>
      <c r="B223" s="311"/>
      <c r="C223" s="311"/>
      <c r="D223" s="311"/>
      <c r="E223" s="311"/>
      <c r="F223" s="311"/>
      <c r="G223" s="311"/>
      <c r="H223" s="311"/>
      <c r="I223" s="311"/>
      <c r="J223" s="311"/>
      <c r="K223" s="311"/>
      <c r="L223" s="311"/>
      <c r="M223" s="311"/>
      <c r="N223" s="311"/>
      <c r="O223" s="311"/>
      <c r="P223" s="311"/>
      <c r="Q223" s="311"/>
      <c r="R223" s="311"/>
      <c r="S223" s="124" t="s">
        <v>44</v>
      </c>
      <c r="T223" s="126"/>
      <c r="U223" s="125"/>
      <c r="V223" s="311"/>
      <c r="W223" s="124" t="s">
        <v>45</v>
      </c>
      <c r="X223" s="126"/>
      <c r="Y223" s="125"/>
    </row>
    <row r="224" spans="1:61" ht="30.75" thickBot="1">
      <c r="A224" s="311"/>
      <c r="B224" s="311"/>
      <c r="C224" s="311"/>
      <c r="D224" s="311"/>
      <c r="E224" s="311"/>
      <c r="F224" s="311"/>
      <c r="G224" s="311"/>
      <c r="H224" s="311"/>
      <c r="I224" s="311"/>
      <c r="J224" s="311"/>
      <c r="K224" s="311"/>
      <c r="L224" s="311"/>
      <c r="M224" s="311"/>
      <c r="N224" s="311"/>
      <c r="O224" s="311"/>
      <c r="P224" s="311"/>
      <c r="Q224" s="311"/>
      <c r="R224" s="311"/>
      <c r="S224" s="32" t="s">
        <v>43</v>
      </c>
      <c r="T224" s="33" t="s">
        <v>10</v>
      </c>
      <c r="U224" s="192" t="s">
        <v>102</v>
      </c>
      <c r="V224" s="311"/>
      <c r="W224" s="25" t="s">
        <v>104</v>
      </c>
      <c r="X224" s="20" t="s">
        <v>10</v>
      </c>
      <c r="Y224" s="192" t="s">
        <v>102</v>
      </c>
    </row>
    <row r="225" spans="1:61">
      <c r="A225" s="311"/>
      <c r="B225" s="311"/>
      <c r="C225" s="311"/>
      <c r="D225" s="311"/>
      <c r="E225" s="311"/>
      <c r="F225" s="311"/>
      <c r="G225" s="311"/>
      <c r="H225" s="311"/>
      <c r="I225" s="311"/>
      <c r="J225" s="311"/>
      <c r="K225" s="311"/>
      <c r="L225" s="311"/>
      <c r="M225" s="311"/>
      <c r="N225" s="311"/>
      <c r="O225" s="311"/>
      <c r="P225" s="311"/>
      <c r="Q225" s="311"/>
      <c r="R225" s="311"/>
      <c r="S225" s="26" t="s">
        <v>13</v>
      </c>
      <c r="T225" s="30">
        <f>T74</f>
        <v>1</v>
      </c>
      <c r="U225" s="31">
        <f>U74</f>
        <v>1</v>
      </c>
      <c r="V225" s="311"/>
      <c r="W225" s="26" t="s">
        <v>105</v>
      </c>
      <c r="X225" s="193">
        <v>1</v>
      </c>
      <c r="Y225" s="194">
        <v>1</v>
      </c>
    </row>
    <row r="226" spans="1:61" ht="15.75" thickBot="1">
      <c r="A226" s="311"/>
      <c r="B226" s="311"/>
      <c r="C226" s="311"/>
      <c r="D226" s="311"/>
      <c r="E226" s="311"/>
      <c r="F226" s="311"/>
      <c r="G226" s="311"/>
      <c r="H226" s="311"/>
      <c r="I226" s="311"/>
      <c r="J226" s="311"/>
      <c r="K226" s="311"/>
      <c r="L226" s="311"/>
      <c r="M226" s="311"/>
      <c r="N226" s="311"/>
      <c r="O226" s="311"/>
      <c r="P226" s="311"/>
      <c r="Q226" s="311"/>
      <c r="R226" s="311"/>
      <c r="S226" s="27" t="s">
        <v>12</v>
      </c>
      <c r="T226" s="28">
        <f>T75</f>
        <v>1.1499999999999999</v>
      </c>
      <c r="U226" s="29">
        <f>U75</f>
        <v>1.6966788184975283</v>
      </c>
      <c r="V226" s="311"/>
      <c r="W226" s="195" t="s">
        <v>106</v>
      </c>
      <c r="X226" s="127">
        <f>AVERAGE(AB47,AB53)</f>
        <v>1.1687500000000002</v>
      </c>
      <c r="Y226" s="123">
        <f>AVERAGE(AC47,AC53)</f>
        <v>1.1875</v>
      </c>
    </row>
    <row r="227" spans="1:61">
      <c r="A227" s="311"/>
      <c r="B227" s="311"/>
      <c r="C227" s="311"/>
      <c r="D227" s="311"/>
      <c r="E227" s="311"/>
      <c r="F227" s="311"/>
      <c r="G227" s="311"/>
      <c r="H227" s="311"/>
      <c r="I227" s="311"/>
      <c r="J227" s="311"/>
      <c r="K227" s="311"/>
      <c r="L227" s="311"/>
      <c r="M227" s="311"/>
      <c r="N227" s="311"/>
      <c r="O227" s="311"/>
      <c r="P227" s="311"/>
      <c r="Q227" s="311"/>
      <c r="R227" s="311"/>
      <c r="S227" s="35" t="str">
        <f>$S$76</f>
        <v>Źródło: Obliczenia własne</v>
      </c>
      <c r="T227" s="178"/>
      <c r="U227" s="178"/>
      <c r="V227" s="311"/>
      <c r="W227" s="191" t="str">
        <f>$AA$57</f>
        <v>Źródło: Obliczenia własne na podstawie "Optimisation of Maintenance", OECD/ITF 2012, str. 12</v>
      </c>
      <c r="X227" s="311"/>
      <c r="Y227" s="311"/>
    </row>
    <row r="228" spans="1:61">
      <c r="S228" s="648" t="str">
        <f>$S$77</f>
        <v xml:space="preserve">W obliczeniach mnożników nachylenia podłużnego drogi uwzględniono, że teren falisty zwiększa zużycie paliwa lub energii w pojazdach lekkich o 15%. W przypadku HGV przyjęto dodatkowe założenia dotyczące funkcji zużycia paliwa. </v>
      </c>
      <c r="T228" s="648"/>
      <c r="U228" s="648"/>
      <c r="V228" s="648"/>
      <c r="W228" s="648"/>
      <c r="X228" s="648"/>
      <c r="Y228" s="648"/>
      <c r="Z228" s="648"/>
    </row>
    <row r="229" spans="1:61" s="454" customFormat="1">
      <c r="S229" s="648"/>
      <c r="T229" s="648"/>
      <c r="U229" s="648"/>
      <c r="V229" s="648"/>
      <c r="W229" s="648"/>
      <c r="X229" s="648"/>
      <c r="Y229" s="648"/>
      <c r="Z229" s="648"/>
    </row>
    <row r="230" spans="1:61" s="420" customFormat="1"/>
    <row r="231" spans="1:61">
      <c r="A231" s="685" t="s">
        <v>453</v>
      </c>
      <c r="B231" s="685"/>
      <c r="C231" s="685"/>
      <c r="D231" s="685"/>
      <c r="E231" s="685"/>
      <c r="F231" s="685"/>
      <c r="G231" s="685"/>
      <c r="H231" s="685"/>
      <c r="I231" s="685"/>
      <c r="J231" s="685"/>
      <c r="K231" s="685"/>
      <c r="L231" s="685"/>
      <c r="M231" s="685"/>
      <c r="N231" s="685"/>
      <c r="O231" s="685"/>
      <c r="P231" s="685"/>
      <c r="Q231" s="685"/>
      <c r="R231" s="685"/>
      <c r="S231" s="685"/>
      <c r="T231" s="685"/>
      <c r="U231" s="685"/>
      <c r="V231" s="685"/>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311"/>
      <c r="AT231" s="311"/>
      <c r="AU231" s="311"/>
      <c r="AV231" s="311"/>
      <c r="AW231" s="311"/>
      <c r="AX231" s="311"/>
      <c r="AY231" s="311"/>
      <c r="AZ231" s="311"/>
      <c r="BA231" s="311"/>
      <c r="BB231" s="311"/>
      <c r="BC231" s="311"/>
      <c r="BD231" s="311"/>
      <c r="BE231" s="311"/>
      <c r="BF231" s="311"/>
      <c r="BG231" s="311"/>
      <c r="BH231" s="311"/>
      <c r="BI231" s="311"/>
    </row>
    <row r="232" spans="1:61" s="454" customFormat="1">
      <c r="A232" s="685"/>
      <c r="B232" s="685"/>
      <c r="C232" s="685"/>
      <c r="D232" s="685"/>
      <c r="E232" s="685"/>
      <c r="F232" s="685"/>
      <c r="G232" s="685"/>
      <c r="H232" s="685"/>
      <c r="I232" s="685"/>
      <c r="J232" s="685"/>
      <c r="K232" s="685"/>
      <c r="L232" s="685"/>
      <c r="M232" s="685"/>
      <c r="N232" s="685"/>
      <c r="O232" s="685"/>
      <c r="P232" s="685"/>
      <c r="Q232" s="685"/>
      <c r="R232" s="685"/>
      <c r="S232" s="685"/>
      <c r="T232" s="685"/>
      <c r="U232" s="685"/>
      <c r="V232" s="685"/>
    </row>
    <row r="233" spans="1:61">
      <c r="A233" s="645" t="s">
        <v>401</v>
      </c>
      <c r="B233" s="645"/>
      <c r="C233" s="645"/>
      <c r="D233" s="645"/>
      <c r="E233" s="645"/>
      <c r="F233" s="645"/>
      <c r="G233" s="645"/>
      <c r="H233" s="645"/>
      <c r="I233" s="645"/>
      <c r="J233" s="645"/>
      <c r="K233" s="645"/>
      <c r="L233" s="645"/>
      <c r="M233" s="645"/>
      <c r="N233" s="645"/>
      <c r="O233" s="645"/>
      <c r="P233" s="645"/>
      <c r="Q233" s="645"/>
      <c r="R233" s="645"/>
      <c r="S233" s="645"/>
      <c r="T233" s="645"/>
      <c r="U233" s="645"/>
      <c r="V233" s="645"/>
      <c r="W233" s="311"/>
      <c r="X233" s="311"/>
      <c r="Y233" s="311"/>
      <c r="Z233" s="311"/>
      <c r="AA233" s="311"/>
      <c r="AB233" s="311"/>
      <c r="AC233" s="311"/>
      <c r="AD233" s="311"/>
      <c r="AE233" s="311"/>
      <c r="AF233" s="311"/>
      <c r="AG233" s="311"/>
      <c r="AH233" s="311"/>
      <c r="AI233" s="311"/>
      <c r="AJ233" s="311"/>
      <c r="AK233" s="311"/>
      <c r="AL233" s="311"/>
      <c r="AM233" s="311"/>
      <c r="AN233" s="311"/>
      <c r="AO233" s="311"/>
      <c r="AP233" s="311"/>
      <c r="AQ233" s="311"/>
      <c r="AR233" s="311"/>
      <c r="AS233" s="311"/>
      <c r="AT233" s="311"/>
      <c r="AU233" s="311"/>
      <c r="AV233" s="311"/>
      <c r="AW233" s="311"/>
      <c r="AX233" s="311"/>
      <c r="AY233" s="311"/>
      <c r="AZ233" s="311"/>
      <c r="BA233" s="311"/>
      <c r="BB233" s="311"/>
      <c r="BC233" s="311"/>
      <c r="BD233" s="311"/>
      <c r="BE233" s="311"/>
      <c r="BF233" s="311"/>
      <c r="BG233" s="311"/>
      <c r="BH233" s="311"/>
      <c r="BI233" s="311"/>
    </row>
    <row r="234" spans="1:61" s="454" customFormat="1">
      <c r="A234" s="650"/>
      <c r="B234" s="650"/>
      <c r="C234" s="650"/>
      <c r="D234" s="650"/>
      <c r="E234" s="650"/>
      <c r="F234" s="650"/>
      <c r="G234" s="650"/>
      <c r="H234" s="650"/>
      <c r="I234" s="650"/>
      <c r="J234" s="650"/>
      <c r="K234" s="650"/>
      <c r="L234" s="650"/>
      <c r="M234" s="650"/>
      <c r="N234" s="650"/>
      <c r="O234" s="650"/>
      <c r="P234" s="650"/>
      <c r="Q234" s="650"/>
      <c r="R234" s="650"/>
      <c r="S234" s="650"/>
      <c r="T234" s="650"/>
      <c r="U234" s="650"/>
      <c r="V234" s="650"/>
    </row>
    <row r="235" spans="1:61" s="406" customFormat="1">
      <c r="A235" s="664" t="s">
        <v>402</v>
      </c>
      <c r="B235" s="508" t="s">
        <v>221</v>
      </c>
      <c r="C235" s="497"/>
      <c r="D235" s="497"/>
      <c r="E235" s="497"/>
      <c r="F235" s="497"/>
      <c r="G235" s="497"/>
      <c r="H235" s="497"/>
      <c r="I235" s="497"/>
      <c r="J235" s="497"/>
      <c r="K235" s="497"/>
      <c r="L235" s="497"/>
      <c r="M235" s="497"/>
      <c r="N235" s="497"/>
      <c r="O235" s="497"/>
      <c r="P235" s="500"/>
      <c r="Q235" s="6"/>
      <c r="R235" s="6"/>
      <c r="S235" s="6"/>
      <c r="T235" s="6">
        <v>2020</v>
      </c>
      <c r="U235" s="6">
        <f>T235+1</f>
        <v>2021</v>
      </c>
      <c r="V235" s="6">
        <f t="shared" ref="V235:BI235" si="179">U235+1</f>
        <v>2022</v>
      </c>
      <c r="W235" s="6">
        <f t="shared" si="179"/>
        <v>2023</v>
      </c>
      <c r="X235" s="6">
        <f t="shared" si="179"/>
        <v>2024</v>
      </c>
      <c r="Y235" s="6">
        <f t="shared" si="179"/>
        <v>2025</v>
      </c>
      <c r="Z235" s="6">
        <f t="shared" si="179"/>
        <v>2026</v>
      </c>
      <c r="AA235" s="6">
        <f t="shared" si="179"/>
        <v>2027</v>
      </c>
      <c r="AB235" s="6">
        <f t="shared" si="179"/>
        <v>2028</v>
      </c>
      <c r="AC235" s="6">
        <f t="shared" si="179"/>
        <v>2029</v>
      </c>
      <c r="AD235" s="6">
        <f t="shared" si="179"/>
        <v>2030</v>
      </c>
      <c r="AE235" s="6">
        <f t="shared" si="179"/>
        <v>2031</v>
      </c>
      <c r="AF235" s="6">
        <f t="shared" si="179"/>
        <v>2032</v>
      </c>
      <c r="AG235" s="6">
        <f t="shared" si="179"/>
        <v>2033</v>
      </c>
      <c r="AH235" s="6">
        <f t="shared" si="179"/>
        <v>2034</v>
      </c>
      <c r="AI235" s="6">
        <f t="shared" si="179"/>
        <v>2035</v>
      </c>
      <c r="AJ235" s="6">
        <f t="shared" si="179"/>
        <v>2036</v>
      </c>
      <c r="AK235" s="6">
        <f t="shared" si="179"/>
        <v>2037</v>
      </c>
      <c r="AL235" s="6">
        <f t="shared" si="179"/>
        <v>2038</v>
      </c>
      <c r="AM235" s="6">
        <f t="shared" si="179"/>
        <v>2039</v>
      </c>
      <c r="AN235" s="6">
        <f t="shared" si="179"/>
        <v>2040</v>
      </c>
      <c r="AO235" s="6">
        <f t="shared" si="179"/>
        <v>2041</v>
      </c>
      <c r="AP235" s="6">
        <f t="shared" si="179"/>
        <v>2042</v>
      </c>
      <c r="AQ235" s="6">
        <f t="shared" si="179"/>
        <v>2043</v>
      </c>
      <c r="AR235" s="6">
        <f t="shared" si="179"/>
        <v>2044</v>
      </c>
      <c r="AS235" s="6">
        <f t="shared" si="179"/>
        <v>2045</v>
      </c>
      <c r="AT235" s="6">
        <f t="shared" si="179"/>
        <v>2046</v>
      </c>
      <c r="AU235" s="6">
        <f t="shared" si="179"/>
        <v>2047</v>
      </c>
      <c r="AV235" s="6">
        <f t="shared" si="179"/>
        <v>2048</v>
      </c>
      <c r="AW235" s="6">
        <f t="shared" si="179"/>
        <v>2049</v>
      </c>
      <c r="AX235" s="6">
        <f t="shared" si="179"/>
        <v>2050</v>
      </c>
      <c r="AY235" s="6">
        <f t="shared" si="179"/>
        <v>2051</v>
      </c>
      <c r="AZ235" s="6">
        <f t="shared" si="179"/>
        <v>2052</v>
      </c>
      <c r="BA235" s="6">
        <f t="shared" si="179"/>
        <v>2053</v>
      </c>
      <c r="BB235" s="6">
        <f t="shared" si="179"/>
        <v>2054</v>
      </c>
      <c r="BC235" s="6">
        <f t="shared" si="179"/>
        <v>2055</v>
      </c>
      <c r="BD235" s="6">
        <f t="shared" si="179"/>
        <v>2056</v>
      </c>
      <c r="BE235" s="6">
        <f t="shared" si="179"/>
        <v>2057</v>
      </c>
      <c r="BF235" s="6">
        <f t="shared" si="179"/>
        <v>2058</v>
      </c>
      <c r="BG235" s="6">
        <f t="shared" si="179"/>
        <v>2059</v>
      </c>
      <c r="BH235" s="6">
        <f t="shared" si="179"/>
        <v>2060</v>
      </c>
      <c r="BI235" s="6">
        <f t="shared" si="179"/>
        <v>2061</v>
      </c>
    </row>
    <row r="236" spans="1:61" ht="30" customHeight="1">
      <c r="A236" s="665"/>
      <c r="B236" s="509" t="s">
        <v>315</v>
      </c>
      <c r="C236" s="505"/>
      <c r="D236" s="505"/>
      <c r="E236" s="505"/>
      <c r="F236" s="505"/>
      <c r="G236" s="505"/>
      <c r="H236" s="505"/>
      <c r="I236" s="505"/>
      <c r="J236" s="505"/>
      <c r="K236" s="505"/>
      <c r="L236" s="505"/>
      <c r="M236" s="505"/>
      <c r="N236" s="505"/>
      <c r="O236" s="505"/>
      <c r="P236" s="510"/>
      <c r="Q236" s="506">
        <f>DATE(2016,12,31)</f>
        <v>42735</v>
      </c>
      <c r="R236" s="506">
        <f>DATE(YEAR(Q236+1),12,31)</f>
        <v>43100</v>
      </c>
      <c r="S236" s="506">
        <f t="shared" ref="S236" si="180">DATE(YEAR(R236+1),12,31)</f>
        <v>43465</v>
      </c>
      <c r="T236" s="506">
        <f>DATE(YEAR(S236+1),12,31)</f>
        <v>43830</v>
      </c>
      <c r="U236" s="506">
        <f t="shared" ref="U236:BI236" si="181">DATE(YEAR(T236+1),12,31)</f>
        <v>44196</v>
      </c>
      <c r="V236" s="506">
        <f t="shared" si="181"/>
        <v>44561</v>
      </c>
      <c r="W236" s="506">
        <f t="shared" si="181"/>
        <v>44926</v>
      </c>
      <c r="X236" s="506">
        <f t="shared" si="181"/>
        <v>45291</v>
      </c>
      <c r="Y236" s="506">
        <f t="shared" si="181"/>
        <v>45657</v>
      </c>
      <c r="Z236" s="506">
        <f t="shared" si="181"/>
        <v>46022</v>
      </c>
      <c r="AA236" s="506">
        <f t="shared" si="181"/>
        <v>46387</v>
      </c>
      <c r="AB236" s="506">
        <f t="shared" si="181"/>
        <v>46752</v>
      </c>
      <c r="AC236" s="506">
        <f t="shared" si="181"/>
        <v>47118</v>
      </c>
      <c r="AD236" s="506">
        <f t="shared" si="181"/>
        <v>47483</v>
      </c>
      <c r="AE236" s="506">
        <f t="shared" si="181"/>
        <v>47848</v>
      </c>
      <c r="AF236" s="506">
        <f t="shared" si="181"/>
        <v>48213</v>
      </c>
      <c r="AG236" s="506">
        <f t="shared" si="181"/>
        <v>48579</v>
      </c>
      <c r="AH236" s="506">
        <f t="shared" si="181"/>
        <v>48944</v>
      </c>
      <c r="AI236" s="506">
        <f t="shared" si="181"/>
        <v>49309</v>
      </c>
      <c r="AJ236" s="506">
        <f t="shared" si="181"/>
        <v>49674</v>
      </c>
      <c r="AK236" s="506">
        <f t="shared" si="181"/>
        <v>50040</v>
      </c>
      <c r="AL236" s="506">
        <f t="shared" si="181"/>
        <v>50405</v>
      </c>
      <c r="AM236" s="506">
        <f t="shared" si="181"/>
        <v>50770</v>
      </c>
      <c r="AN236" s="506">
        <f t="shared" si="181"/>
        <v>51135</v>
      </c>
      <c r="AO236" s="506">
        <f t="shared" si="181"/>
        <v>51501</v>
      </c>
      <c r="AP236" s="506">
        <f t="shared" si="181"/>
        <v>51866</v>
      </c>
      <c r="AQ236" s="506">
        <f t="shared" si="181"/>
        <v>52231</v>
      </c>
      <c r="AR236" s="506">
        <f t="shared" si="181"/>
        <v>52596</v>
      </c>
      <c r="AS236" s="506">
        <f t="shared" si="181"/>
        <v>52962</v>
      </c>
      <c r="AT236" s="506">
        <f t="shared" si="181"/>
        <v>53327</v>
      </c>
      <c r="AU236" s="506">
        <f t="shared" si="181"/>
        <v>53692</v>
      </c>
      <c r="AV236" s="506">
        <f t="shared" si="181"/>
        <v>54057</v>
      </c>
      <c r="AW236" s="506">
        <f t="shared" si="181"/>
        <v>54423</v>
      </c>
      <c r="AX236" s="506">
        <f t="shared" si="181"/>
        <v>54788</v>
      </c>
      <c r="AY236" s="506">
        <f t="shared" si="181"/>
        <v>55153</v>
      </c>
      <c r="AZ236" s="506">
        <f t="shared" si="181"/>
        <v>55518</v>
      </c>
      <c r="BA236" s="506">
        <f t="shared" si="181"/>
        <v>55884</v>
      </c>
      <c r="BB236" s="506">
        <f t="shared" si="181"/>
        <v>56249</v>
      </c>
      <c r="BC236" s="506">
        <f t="shared" si="181"/>
        <v>56614</v>
      </c>
      <c r="BD236" s="506">
        <f t="shared" si="181"/>
        <v>56979</v>
      </c>
      <c r="BE236" s="506">
        <f t="shared" si="181"/>
        <v>57345</v>
      </c>
      <c r="BF236" s="506">
        <f t="shared" si="181"/>
        <v>57710</v>
      </c>
      <c r="BG236" s="506">
        <f t="shared" si="181"/>
        <v>58075</v>
      </c>
      <c r="BH236" s="506">
        <f t="shared" si="181"/>
        <v>58440</v>
      </c>
      <c r="BI236" s="506">
        <f t="shared" si="181"/>
        <v>58806</v>
      </c>
    </row>
    <row r="237" spans="1:61" ht="45">
      <c r="A237" s="8" t="s">
        <v>60</v>
      </c>
      <c r="B237" s="129" t="s">
        <v>42</v>
      </c>
      <c r="C237" s="13"/>
      <c r="D237" s="13"/>
      <c r="E237" s="13"/>
      <c r="F237" s="13"/>
      <c r="G237" s="13"/>
      <c r="H237" s="13"/>
      <c r="I237" s="13"/>
      <c r="J237" s="13"/>
      <c r="K237" s="13"/>
      <c r="L237" s="13"/>
      <c r="M237" s="13"/>
      <c r="N237" s="13"/>
      <c r="O237" s="13"/>
      <c r="P237" s="13"/>
      <c r="Q237" s="93"/>
      <c r="R237" s="93"/>
      <c r="S237" s="93"/>
      <c r="T237" s="130">
        <f t="shared" ref="T237:BI237" si="182">T$101*(T$217*10^-6)*$T$225*$X$225</f>
        <v>5.8236800236455687E-2</v>
      </c>
      <c r="U237" s="130">
        <f t="shared" si="182"/>
        <v>5.9700902183435905E-2</v>
      </c>
      <c r="V237" s="130">
        <f t="shared" si="182"/>
        <v>7.5421604944719126E-2</v>
      </c>
      <c r="W237" s="130">
        <f t="shared" si="182"/>
        <v>8.7867100058463474E-2</v>
      </c>
      <c r="X237" s="130">
        <f t="shared" si="182"/>
        <v>0.10008213353602417</v>
      </c>
      <c r="Y237" s="130">
        <f t="shared" si="182"/>
        <v>0.11206670537740117</v>
      </c>
      <c r="Z237" s="130">
        <f t="shared" si="182"/>
        <v>0.12236451300729417</v>
      </c>
      <c r="AA237" s="130">
        <f t="shared" si="182"/>
        <v>0.13213177240972951</v>
      </c>
      <c r="AB237" s="130">
        <f t="shared" si="182"/>
        <v>0.14136848358470716</v>
      </c>
      <c r="AC237" s="130">
        <f t="shared" si="182"/>
        <v>0.15007464653222718</v>
      </c>
      <c r="AD237" s="130">
        <f t="shared" si="182"/>
        <v>0.15825026125228944</v>
      </c>
      <c r="AE237" s="130">
        <f t="shared" si="182"/>
        <v>0.16201689884980253</v>
      </c>
      <c r="AF237" s="130">
        <f t="shared" si="182"/>
        <v>0.17151196661219056</v>
      </c>
      <c r="AG237" s="130">
        <f t="shared" si="182"/>
        <v>0.17926442216273603</v>
      </c>
      <c r="AH237" s="130">
        <f t="shared" si="182"/>
        <v>0.18527426550143899</v>
      </c>
      <c r="AI237" s="130">
        <f t="shared" si="182"/>
        <v>0.18954149662829936</v>
      </c>
      <c r="AJ237" s="130">
        <f t="shared" si="182"/>
        <v>0.1975155353054687</v>
      </c>
      <c r="AK237" s="130">
        <f t="shared" si="182"/>
        <v>0.20404013767065535</v>
      </c>
      <c r="AL237" s="130">
        <f t="shared" si="182"/>
        <v>0.20963889901841259</v>
      </c>
      <c r="AM237" s="130">
        <f t="shared" si="182"/>
        <v>0.21431181934874044</v>
      </c>
      <c r="AN237" s="130">
        <f t="shared" si="182"/>
        <v>0.21805889866163888</v>
      </c>
      <c r="AO237" s="130">
        <f t="shared" si="182"/>
        <v>0.22988136907100484</v>
      </c>
      <c r="AP237" s="130">
        <f t="shared" si="182"/>
        <v>0.24170383948037086</v>
      </c>
      <c r="AQ237" s="130">
        <f t="shared" si="182"/>
        <v>0.25352630988973685</v>
      </c>
      <c r="AR237" s="130">
        <f t="shared" si="182"/>
        <v>0.2653487802991028</v>
      </c>
      <c r="AS237" s="130">
        <f t="shared" si="182"/>
        <v>0.27717125070846876</v>
      </c>
      <c r="AT237" s="130">
        <f t="shared" si="182"/>
        <v>0.28899372111783472</v>
      </c>
      <c r="AU237" s="130">
        <f t="shared" si="182"/>
        <v>0.30125406080162165</v>
      </c>
      <c r="AV237" s="130">
        <f t="shared" si="182"/>
        <v>0.31351440048540857</v>
      </c>
      <c r="AW237" s="130">
        <f t="shared" si="182"/>
        <v>0.3257747401691955</v>
      </c>
      <c r="AX237" s="130">
        <f t="shared" si="182"/>
        <v>0.33803507985298237</v>
      </c>
      <c r="AY237" s="130">
        <f t="shared" si="182"/>
        <v>0.35029541953676935</v>
      </c>
      <c r="AZ237" s="130">
        <f t="shared" si="182"/>
        <v>0.35029541953676935</v>
      </c>
      <c r="BA237" s="130">
        <f t="shared" si="182"/>
        <v>0.35029541953676935</v>
      </c>
      <c r="BB237" s="130">
        <f t="shared" si="182"/>
        <v>0.35029541953676935</v>
      </c>
      <c r="BC237" s="130">
        <f t="shared" si="182"/>
        <v>0.35029541953676935</v>
      </c>
      <c r="BD237" s="130">
        <f t="shared" si="182"/>
        <v>0.35029541953676935</v>
      </c>
      <c r="BE237" s="130">
        <f t="shared" si="182"/>
        <v>0.35029541953676935</v>
      </c>
      <c r="BF237" s="130">
        <f t="shared" si="182"/>
        <v>0.35029541953676935</v>
      </c>
      <c r="BG237" s="130">
        <f t="shared" si="182"/>
        <v>0.35029541953676935</v>
      </c>
      <c r="BH237" s="130">
        <f t="shared" si="182"/>
        <v>0.35029541953676935</v>
      </c>
      <c r="BI237" s="130">
        <f t="shared" si="182"/>
        <v>0.35029541953676935</v>
      </c>
    </row>
    <row r="238" spans="1:61"/>
    <row r="239" spans="1:61"/>
    <row r="240" spans="1:61">
      <c r="A240" s="653" t="s">
        <v>454</v>
      </c>
      <c r="B240" s="653"/>
      <c r="C240" s="653"/>
      <c r="D240" s="653"/>
      <c r="E240" s="653"/>
      <c r="F240" s="653"/>
      <c r="G240" s="653"/>
      <c r="H240" s="653"/>
      <c r="I240" s="653"/>
      <c r="J240" s="653"/>
      <c r="K240" s="653"/>
      <c r="L240" s="653"/>
      <c r="M240" s="653"/>
      <c r="N240" s="653"/>
      <c r="O240" s="653"/>
      <c r="P240" s="653"/>
      <c r="Q240" s="653"/>
      <c r="R240" s="653"/>
      <c r="S240" s="653"/>
      <c r="T240" s="653"/>
      <c r="U240" s="653"/>
      <c r="V240" s="653"/>
    </row>
    <row r="241" spans="1:61" s="454" customFormat="1">
      <c r="A241" s="653"/>
      <c r="B241" s="653"/>
      <c r="C241" s="653"/>
      <c r="D241" s="653"/>
      <c r="E241" s="653"/>
      <c r="F241" s="653"/>
      <c r="G241" s="653"/>
      <c r="H241" s="653"/>
      <c r="I241" s="653"/>
      <c r="J241" s="653"/>
      <c r="K241" s="653"/>
      <c r="L241" s="653"/>
      <c r="M241" s="653"/>
      <c r="N241" s="653"/>
      <c r="O241" s="653"/>
      <c r="P241" s="653"/>
      <c r="Q241" s="653"/>
      <c r="R241" s="653"/>
      <c r="S241" s="653"/>
      <c r="T241" s="653"/>
      <c r="U241" s="653"/>
      <c r="V241" s="653"/>
    </row>
    <row r="242" spans="1:61">
      <c r="A242" s="654" t="s">
        <v>321</v>
      </c>
      <c r="B242" s="654"/>
      <c r="C242" s="654"/>
      <c r="D242" s="654"/>
      <c r="E242" s="654"/>
      <c r="F242" s="654"/>
      <c r="G242" s="654"/>
      <c r="H242" s="654"/>
      <c r="I242" s="654"/>
      <c r="J242" s="654"/>
      <c r="K242" s="654"/>
      <c r="L242" s="654"/>
      <c r="M242" s="654"/>
      <c r="N242" s="654"/>
      <c r="O242" s="654"/>
      <c r="P242" s="654"/>
      <c r="Q242" s="654"/>
      <c r="R242" s="654"/>
      <c r="S242" s="654"/>
      <c r="T242" s="654"/>
      <c r="U242" s="654"/>
      <c r="V242" s="654"/>
    </row>
    <row r="243" spans="1:61" s="454" customFormat="1">
      <c r="A243" s="654"/>
      <c r="B243" s="654"/>
      <c r="C243" s="654"/>
      <c r="D243" s="654"/>
      <c r="E243" s="654"/>
      <c r="F243" s="654"/>
      <c r="G243" s="654"/>
      <c r="H243" s="654"/>
      <c r="I243" s="654"/>
      <c r="J243" s="654"/>
      <c r="K243" s="654"/>
      <c r="L243" s="654"/>
      <c r="M243" s="654"/>
      <c r="N243" s="654"/>
      <c r="O243" s="654"/>
      <c r="P243" s="654"/>
      <c r="Q243" s="654"/>
      <c r="R243" s="654"/>
      <c r="S243" s="654"/>
      <c r="T243" s="654"/>
      <c r="U243" s="654"/>
      <c r="V243" s="654"/>
    </row>
    <row r="244" spans="1:61" s="454" customFormat="1">
      <c r="A244" s="651" t="s">
        <v>455</v>
      </c>
      <c r="B244" s="651"/>
      <c r="C244" s="651"/>
      <c r="D244" s="651"/>
      <c r="E244" s="651"/>
      <c r="F244" s="651"/>
      <c r="G244" s="651"/>
      <c r="H244" s="651"/>
      <c r="I244" s="651"/>
      <c r="J244" s="651"/>
      <c r="K244" s="651"/>
      <c r="L244" s="651"/>
      <c r="M244" s="651"/>
      <c r="N244" s="651"/>
      <c r="O244" s="651"/>
      <c r="P244" s="651"/>
      <c r="Q244" s="651"/>
      <c r="R244" s="651"/>
      <c r="S244" s="651"/>
      <c r="T244" s="651"/>
      <c r="U244" s="651"/>
      <c r="V244" s="651"/>
    </row>
    <row r="245" spans="1:61" s="454" customFormat="1">
      <c r="A245" s="651"/>
      <c r="B245" s="651"/>
      <c r="C245" s="651"/>
      <c r="D245" s="651"/>
      <c r="E245" s="651"/>
      <c r="F245" s="651"/>
      <c r="G245" s="651"/>
      <c r="H245" s="651"/>
      <c r="I245" s="651"/>
      <c r="J245" s="651"/>
      <c r="K245" s="651"/>
      <c r="L245" s="651"/>
      <c r="M245" s="651"/>
      <c r="N245" s="651"/>
      <c r="O245" s="651"/>
      <c r="P245" s="651"/>
      <c r="Q245" s="651"/>
      <c r="R245" s="651"/>
      <c r="S245" s="651"/>
      <c r="T245" s="651"/>
      <c r="U245" s="651"/>
      <c r="V245" s="651"/>
    </row>
    <row r="246" spans="1:61" s="454" customFormat="1">
      <c r="A246" s="651"/>
      <c r="B246" s="651"/>
      <c r="C246" s="651"/>
      <c r="D246" s="651"/>
      <c r="E246" s="651"/>
      <c r="F246" s="651"/>
      <c r="G246" s="651"/>
      <c r="H246" s="651"/>
      <c r="I246" s="651"/>
      <c r="J246" s="651"/>
      <c r="K246" s="651"/>
      <c r="L246" s="651"/>
      <c r="M246" s="651"/>
      <c r="N246" s="651"/>
      <c r="O246" s="651"/>
      <c r="P246" s="651"/>
      <c r="Q246" s="651"/>
      <c r="R246" s="651"/>
      <c r="S246" s="651"/>
      <c r="T246" s="651"/>
      <c r="U246" s="651"/>
      <c r="V246" s="651"/>
    </row>
    <row r="247" spans="1:61" s="454" customFormat="1">
      <c r="A247" s="652"/>
      <c r="B247" s="652"/>
      <c r="C247" s="652"/>
      <c r="D247" s="652"/>
      <c r="E247" s="652"/>
      <c r="F247" s="652"/>
      <c r="G247" s="652"/>
      <c r="H247" s="652"/>
      <c r="I247" s="652"/>
      <c r="J247" s="652"/>
      <c r="K247" s="652"/>
      <c r="L247" s="652"/>
      <c r="M247" s="652"/>
      <c r="N247" s="652"/>
      <c r="O247" s="652"/>
      <c r="P247" s="652"/>
      <c r="Q247" s="652"/>
      <c r="R247" s="652"/>
      <c r="S247" s="652"/>
      <c r="T247" s="652"/>
      <c r="U247" s="652"/>
      <c r="V247" s="652"/>
    </row>
    <row r="248" spans="1:61">
      <c r="A248" s="664"/>
      <c r="B248" s="508" t="s">
        <v>221</v>
      </c>
      <c r="C248" s="497"/>
      <c r="D248" s="497"/>
      <c r="E248" s="497"/>
      <c r="F248" s="497"/>
      <c r="G248" s="497"/>
      <c r="H248" s="497"/>
      <c r="I248" s="497"/>
      <c r="J248" s="497"/>
      <c r="K248" s="497"/>
      <c r="L248" s="497"/>
      <c r="M248" s="497"/>
      <c r="N248" s="497"/>
      <c r="O248" s="497"/>
      <c r="P248" s="500"/>
      <c r="Q248" s="6"/>
      <c r="R248" s="6"/>
      <c r="S248" s="6"/>
      <c r="T248" s="6">
        <v>2020</v>
      </c>
      <c r="U248" s="6">
        <f>T248+1</f>
        <v>2021</v>
      </c>
      <c r="V248" s="6">
        <f t="shared" ref="V248:AK248" si="183">U248+1</f>
        <v>2022</v>
      </c>
      <c r="W248" s="6">
        <f t="shared" si="183"/>
        <v>2023</v>
      </c>
      <c r="X248" s="6">
        <f t="shared" si="183"/>
        <v>2024</v>
      </c>
      <c r="Y248" s="6">
        <f t="shared" si="183"/>
        <v>2025</v>
      </c>
      <c r="Z248" s="6">
        <f t="shared" si="183"/>
        <v>2026</v>
      </c>
      <c r="AA248" s="6">
        <f t="shared" si="183"/>
        <v>2027</v>
      </c>
      <c r="AB248" s="6">
        <f t="shared" si="183"/>
        <v>2028</v>
      </c>
      <c r="AC248" s="6">
        <f t="shared" si="183"/>
        <v>2029</v>
      </c>
      <c r="AD248" s="6">
        <f t="shared" si="183"/>
        <v>2030</v>
      </c>
      <c r="AE248" s="6">
        <f t="shared" si="183"/>
        <v>2031</v>
      </c>
      <c r="AF248" s="6">
        <f t="shared" si="183"/>
        <v>2032</v>
      </c>
      <c r="AG248" s="6">
        <f t="shared" si="183"/>
        <v>2033</v>
      </c>
      <c r="AH248" s="6">
        <f t="shared" si="183"/>
        <v>2034</v>
      </c>
      <c r="AI248" s="6">
        <f t="shared" si="183"/>
        <v>2035</v>
      </c>
      <c r="AJ248" s="6">
        <f t="shared" si="183"/>
        <v>2036</v>
      </c>
      <c r="AK248" s="6">
        <f t="shared" si="183"/>
        <v>2037</v>
      </c>
      <c r="AL248" s="6">
        <f t="shared" ref="AL248:BA248" si="184">AK248+1</f>
        <v>2038</v>
      </c>
      <c r="AM248" s="6">
        <f t="shared" si="184"/>
        <v>2039</v>
      </c>
      <c r="AN248" s="6">
        <f t="shared" si="184"/>
        <v>2040</v>
      </c>
      <c r="AO248" s="6">
        <f t="shared" si="184"/>
        <v>2041</v>
      </c>
      <c r="AP248" s="6">
        <f t="shared" si="184"/>
        <v>2042</v>
      </c>
      <c r="AQ248" s="6">
        <f t="shared" si="184"/>
        <v>2043</v>
      </c>
      <c r="AR248" s="6">
        <f t="shared" si="184"/>
        <v>2044</v>
      </c>
      <c r="AS248" s="6">
        <f t="shared" si="184"/>
        <v>2045</v>
      </c>
      <c r="AT248" s="6">
        <f t="shared" si="184"/>
        <v>2046</v>
      </c>
      <c r="AU248" s="6">
        <f t="shared" si="184"/>
        <v>2047</v>
      </c>
      <c r="AV248" s="6">
        <f t="shared" si="184"/>
        <v>2048</v>
      </c>
      <c r="AW248" s="6">
        <f t="shared" si="184"/>
        <v>2049</v>
      </c>
      <c r="AX248" s="6">
        <f t="shared" si="184"/>
        <v>2050</v>
      </c>
      <c r="AY248" s="6">
        <f t="shared" si="184"/>
        <v>2051</v>
      </c>
      <c r="AZ248" s="6">
        <f t="shared" si="184"/>
        <v>2052</v>
      </c>
      <c r="BA248" s="6">
        <f t="shared" si="184"/>
        <v>2053</v>
      </c>
      <c r="BB248" s="6">
        <f t="shared" ref="BB248:BI248" si="185">BA248+1</f>
        <v>2054</v>
      </c>
      <c r="BC248" s="6">
        <f t="shared" si="185"/>
        <v>2055</v>
      </c>
      <c r="BD248" s="6">
        <f t="shared" si="185"/>
        <v>2056</v>
      </c>
      <c r="BE248" s="6">
        <f t="shared" si="185"/>
        <v>2057</v>
      </c>
      <c r="BF248" s="6">
        <f t="shared" si="185"/>
        <v>2058</v>
      </c>
      <c r="BG248" s="6">
        <f t="shared" si="185"/>
        <v>2059</v>
      </c>
      <c r="BH248" s="6">
        <f t="shared" si="185"/>
        <v>2060</v>
      </c>
      <c r="BI248" s="6">
        <f t="shared" si="185"/>
        <v>2061</v>
      </c>
    </row>
    <row r="249" spans="1:61">
      <c r="A249" s="665"/>
      <c r="B249" s="509" t="s">
        <v>315</v>
      </c>
      <c r="C249" s="505"/>
      <c r="D249" s="505"/>
      <c r="E249" s="505"/>
      <c r="F249" s="505"/>
      <c r="G249" s="505"/>
      <c r="H249" s="505"/>
      <c r="I249" s="505"/>
      <c r="J249" s="505"/>
      <c r="K249" s="505"/>
      <c r="L249" s="505"/>
      <c r="M249" s="505"/>
      <c r="N249" s="505"/>
      <c r="O249" s="505"/>
      <c r="P249" s="510"/>
      <c r="Q249" s="506">
        <f>DATE(2016,12,31)</f>
        <v>42735</v>
      </c>
      <c r="R249" s="506">
        <f>DATE(YEAR(Q249+1),12,31)</f>
        <v>43100</v>
      </c>
      <c r="S249" s="506">
        <f t="shared" ref="S249" si="186">DATE(YEAR(R249+1),12,31)</f>
        <v>43465</v>
      </c>
      <c r="T249" s="506">
        <f>DATE(YEAR(S249+1),12,31)</f>
        <v>43830</v>
      </c>
      <c r="U249" s="506">
        <f t="shared" ref="U249:BI249" si="187">DATE(YEAR(T249+1),12,31)</f>
        <v>44196</v>
      </c>
      <c r="V249" s="506">
        <f t="shared" si="187"/>
        <v>44561</v>
      </c>
      <c r="W249" s="506">
        <f t="shared" si="187"/>
        <v>44926</v>
      </c>
      <c r="X249" s="506">
        <f t="shared" si="187"/>
        <v>45291</v>
      </c>
      <c r="Y249" s="506">
        <f t="shared" si="187"/>
        <v>45657</v>
      </c>
      <c r="Z249" s="506">
        <f t="shared" si="187"/>
        <v>46022</v>
      </c>
      <c r="AA249" s="506">
        <f t="shared" si="187"/>
        <v>46387</v>
      </c>
      <c r="AB249" s="506">
        <f t="shared" si="187"/>
        <v>46752</v>
      </c>
      <c r="AC249" s="506">
        <f t="shared" si="187"/>
        <v>47118</v>
      </c>
      <c r="AD249" s="506">
        <f t="shared" si="187"/>
        <v>47483</v>
      </c>
      <c r="AE249" s="506">
        <f t="shared" si="187"/>
        <v>47848</v>
      </c>
      <c r="AF249" s="506">
        <f t="shared" si="187"/>
        <v>48213</v>
      </c>
      <c r="AG249" s="506">
        <f t="shared" si="187"/>
        <v>48579</v>
      </c>
      <c r="AH249" s="506">
        <f t="shared" si="187"/>
        <v>48944</v>
      </c>
      <c r="AI249" s="506">
        <f t="shared" si="187"/>
        <v>49309</v>
      </c>
      <c r="AJ249" s="506">
        <f t="shared" si="187"/>
        <v>49674</v>
      </c>
      <c r="AK249" s="506">
        <f t="shared" si="187"/>
        <v>50040</v>
      </c>
      <c r="AL249" s="506">
        <f t="shared" si="187"/>
        <v>50405</v>
      </c>
      <c r="AM249" s="506">
        <f t="shared" si="187"/>
        <v>50770</v>
      </c>
      <c r="AN249" s="506">
        <f t="shared" si="187"/>
        <v>51135</v>
      </c>
      <c r="AO249" s="506">
        <f t="shared" si="187"/>
        <v>51501</v>
      </c>
      <c r="AP249" s="506">
        <f t="shared" si="187"/>
        <v>51866</v>
      </c>
      <c r="AQ249" s="506">
        <f t="shared" si="187"/>
        <v>52231</v>
      </c>
      <c r="AR249" s="506">
        <f t="shared" si="187"/>
        <v>52596</v>
      </c>
      <c r="AS249" s="506">
        <f t="shared" si="187"/>
        <v>52962</v>
      </c>
      <c r="AT249" s="506">
        <f t="shared" si="187"/>
        <v>53327</v>
      </c>
      <c r="AU249" s="506">
        <f t="shared" si="187"/>
        <v>53692</v>
      </c>
      <c r="AV249" s="506">
        <f t="shared" si="187"/>
        <v>54057</v>
      </c>
      <c r="AW249" s="506">
        <f t="shared" si="187"/>
        <v>54423</v>
      </c>
      <c r="AX249" s="506">
        <f t="shared" si="187"/>
        <v>54788</v>
      </c>
      <c r="AY249" s="506">
        <f t="shared" si="187"/>
        <v>55153</v>
      </c>
      <c r="AZ249" s="506">
        <f t="shared" si="187"/>
        <v>55518</v>
      </c>
      <c r="BA249" s="506">
        <f t="shared" si="187"/>
        <v>55884</v>
      </c>
      <c r="BB249" s="506">
        <f t="shared" si="187"/>
        <v>56249</v>
      </c>
      <c r="BC249" s="506">
        <f t="shared" si="187"/>
        <v>56614</v>
      </c>
      <c r="BD249" s="506">
        <f t="shared" si="187"/>
        <v>56979</v>
      </c>
      <c r="BE249" s="506">
        <f t="shared" si="187"/>
        <v>57345</v>
      </c>
      <c r="BF249" s="506">
        <f t="shared" si="187"/>
        <v>57710</v>
      </c>
      <c r="BG249" s="506">
        <f t="shared" si="187"/>
        <v>58075</v>
      </c>
      <c r="BH249" s="506">
        <f t="shared" si="187"/>
        <v>58440</v>
      </c>
      <c r="BI249" s="506">
        <f t="shared" si="187"/>
        <v>58806</v>
      </c>
    </row>
    <row r="250" spans="1:61" ht="30">
      <c r="A250" s="8" t="str">
        <f>"LV ogółem, prędkość "&amp;$S$49&amp;" km/h, teren płaski, nawierzchnia nowa"</f>
        <v>LV ogółem, prędkość 61-70 km/h, teren płaski, nawierzchnia nowa</v>
      </c>
      <c r="B250" s="129" t="s">
        <v>42</v>
      </c>
      <c r="C250" s="13"/>
      <c r="D250" s="13"/>
      <c r="E250" s="13"/>
      <c r="F250" s="13"/>
      <c r="G250" s="13"/>
      <c r="H250" s="13"/>
      <c r="I250" s="13"/>
      <c r="J250" s="13"/>
      <c r="K250" s="13"/>
      <c r="L250" s="13"/>
      <c r="M250" s="13"/>
      <c r="N250" s="13"/>
      <c r="O250" s="13"/>
      <c r="P250" s="13"/>
      <c r="Q250" s="93"/>
      <c r="R250" s="93"/>
      <c r="S250" s="93"/>
      <c r="T250" s="10">
        <f t="shared" ref="T250:BI250" si="188">T$116*U$8+T$237*U$11</f>
        <v>6.4255041154571757E-2</v>
      </c>
      <c r="U250" s="10">
        <f t="shared" si="188"/>
        <v>6.6387954586645218E-2</v>
      </c>
      <c r="V250" s="10">
        <f t="shared" si="188"/>
        <v>8.4525378506403556E-2</v>
      </c>
      <c r="W250" s="10">
        <f t="shared" si="188"/>
        <v>9.923967075156695E-2</v>
      </c>
      <c r="X250" s="10">
        <f t="shared" si="188"/>
        <v>0.11391171445852089</v>
      </c>
      <c r="Y250" s="10">
        <f t="shared" si="188"/>
        <v>0.12853660707973208</v>
      </c>
      <c r="Z250" s="10">
        <f t="shared" si="188"/>
        <v>0.14303716050347495</v>
      </c>
      <c r="AA250" s="10">
        <f t="shared" si="188"/>
        <v>0.15744308163416268</v>
      </c>
      <c r="AB250" s="10">
        <f t="shared" si="188"/>
        <v>0.17174308426404752</v>
      </c>
      <c r="AC250" s="10">
        <f t="shared" si="188"/>
        <v>0.18592588218538184</v>
      </c>
      <c r="AD250" s="10">
        <f t="shared" si="188"/>
        <v>0.19998018919041788</v>
      </c>
      <c r="AE250" s="10">
        <f t="shared" si="188"/>
        <v>0.21325148977231254</v>
      </c>
      <c r="AF250" s="10">
        <f t="shared" si="188"/>
        <v>0.23544947487297496</v>
      </c>
      <c r="AG250" s="10">
        <f t="shared" si="188"/>
        <v>0.25706688754740109</v>
      </c>
      <c r="AH250" s="10">
        <f t="shared" si="188"/>
        <v>0.27803759566215142</v>
      </c>
      <c r="AI250" s="10">
        <f t="shared" si="188"/>
        <v>0.2982954670837864</v>
      </c>
      <c r="AJ250" s="10">
        <f t="shared" si="188"/>
        <v>0.31861303538026187</v>
      </c>
      <c r="AK250" s="10">
        <f t="shared" si="188"/>
        <v>0.3375442366107092</v>
      </c>
      <c r="AL250" s="10">
        <f t="shared" si="188"/>
        <v>0.35587795573581998</v>
      </c>
      <c r="AM250" s="10">
        <f t="shared" si="188"/>
        <v>0.37357905708898292</v>
      </c>
      <c r="AN250" s="10">
        <f t="shared" si="188"/>
        <v>0.39061240500358646</v>
      </c>
      <c r="AO250" s="10">
        <f t="shared" si="188"/>
        <v>0.40889748136655202</v>
      </c>
      <c r="AP250" s="10">
        <f t="shared" si="188"/>
        <v>0.42688502239602222</v>
      </c>
      <c r="AQ250" s="10">
        <f t="shared" si="188"/>
        <v>0.44457502809199706</v>
      </c>
      <c r="AR250" s="10">
        <f t="shared" si="188"/>
        <v>0.46196749845447654</v>
      </c>
      <c r="AS250" s="10">
        <f t="shared" si="188"/>
        <v>0.47906243348346067</v>
      </c>
      <c r="AT250" s="10">
        <f t="shared" si="188"/>
        <v>0.49585983317894944</v>
      </c>
      <c r="AU250" s="10">
        <f t="shared" si="188"/>
        <v>0.5131054904049035</v>
      </c>
      <c r="AV250" s="10">
        <f t="shared" si="188"/>
        <v>0.53004259247019558</v>
      </c>
      <c r="AW250" s="10">
        <f t="shared" si="188"/>
        <v>0.54667113937482592</v>
      </c>
      <c r="AX250" s="10">
        <f t="shared" si="188"/>
        <v>0.56299113111879517</v>
      </c>
      <c r="AY250" s="10">
        <f t="shared" si="188"/>
        <v>0.58341049856869975</v>
      </c>
      <c r="AZ250" s="10">
        <f t="shared" si="188"/>
        <v>0.58341049856869975</v>
      </c>
      <c r="BA250" s="10">
        <f t="shared" si="188"/>
        <v>0.58341049856869975</v>
      </c>
      <c r="BB250" s="10">
        <f t="shared" si="188"/>
        <v>0.58341049856869975</v>
      </c>
      <c r="BC250" s="10">
        <f t="shared" si="188"/>
        <v>0.58341049856869975</v>
      </c>
      <c r="BD250" s="10">
        <f t="shared" si="188"/>
        <v>0.58341049856869975</v>
      </c>
      <c r="BE250" s="10">
        <f t="shared" si="188"/>
        <v>0.58341049856869975</v>
      </c>
      <c r="BF250" s="10">
        <f t="shared" si="188"/>
        <v>0.58341049856869975</v>
      </c>
      <c r="BG250" s="10">
        <f t="shared" si="188"/>
        <v>0.58341049856869975</v>
      </c>
      <c r="BH250" s="10">
        <f t="shared" si="188"/>
        <v>0.58341049856869975</v>
      </c>
      <c r="BI250" s="10">
        <f t="shared" si="188"/>
        <v>0.58341049856869975</v>
      </c>
    </row>
    <row r="251" spans="1:61" ht="45">
      <c r="A251" s="8" t="str">
        <f>"HGV ogółem, prędkość "&amp;$S$49&amp;" km/h, teren płaski, nawierzchnia nowa"</f>
        <v>HGV ogółem, prędkość 61-70 km/h, teren płaski, nawierzchnia nowa</v>
      </c>
      <c r="B251" s="129" t="s">
        <v>42</v>
      </c>
      <c r="C251" s="13"/>
      <c r="D251" s="13"/>
      <c r="E251" s="13"/>
      <c r="F251" s="13"/>
      <c r="G251" s="13"/>
      <c r="H251" s="13"/>
      <c r="I251" s="13"/>
      <c r="J251" s="13"/>
      <c r="K251" s="13"/>
      <c r="L251" s="13"/>
      <c r="M251" s="13"/>
      <c r="N251" s="13"/>
      <c r="O251" s="13"/>
      <c r="P251" s="13"/>
      <c r="Q251" s="93"/>
      <c r="R251" s="93"/>
      <c r="S251" s="93"/>
      <c r="T251" s="10">
        <f t="shared" ref="T251:BI251" si="189">(T$101*($U$49*10^-6)*$U$74)*U$15+(0)*U$16</f>
        <v>0.17576586911509945</v>
      </c>
      <c r="U251" s="10">
        <f t="shared" si="189"/>
        <v>0.18174190866501283</v>
      </c>
      <c r="V251" s="10">
        <f t="shared" si="189"/>
        <v>0.23160052953340077</v>
      </c>
      <c r="W251" s="10">
        <f t="shared" si="189"/>
        <v>0.27219031305987307</v>
      </c>
      <c r="X251" s="10">
        <f t="shared" si="189"/>
        <v>0.31278009658634537</v>
      </c>
      <c r="Y251" s="10">
        <f t="shared" si="189"/>
        <v>0.35336988011281767</v>
      </c>
      <c r="Z251" s="10">
        <f t="shared" si="189"/>
        <v>0.39395966363928997</v>
      </c>
      <c r="AA251" s="10">
        <f t="shared" si="189"/>
        <v>0.43454944716576227</v>
      </c>
      <c r="AB251" s="10">
        <f t="shared" si="189"/>
        <v>0.47513923069223452</v>
      </c>
      <c r="AC251" s="10">
        <f t="shared" si="189"/>
        <v>0.51572901421870687</v>
      </c>
      <c r="AD251" s="10">
        <f t="shared" si="189"/>
        <v>0.55631879774517912</v>
      </c>
      <c r="AE251" s="10">
        <f t="shared" si="189"/>
        <v>0.59690858127165147</v>
      </c>
      <c r="AF251" s="10">
        <f t="shared" si="189"/>
        <v>0.66376234237407639</v>
      </c>
      <c r="AG251" s="10">
        <f t="shared" si="189"/>
        <v>0.73061610347650141</v>
      </c>
      <c r="AH251" s="10">
        <f t="shared" si="189"/>
        <v>0.79746986457892644</v>
      </c>
      <c r="AI251" s="10">
        <f t="shared" si="189"/>
        <v>0.86432362568135124</v>
      </c>
      <c r="AJ251" s="10">
        <f t="shared" si="189"/>
        <v>0.93117738678377615</v>
      </c>
      <c r="AK251" s="10">
        <f t="shared" si="189"/>
        <v>0.99564351356111458</v>
      </c>
      <c r="AL251" s="10">
        <f t="shared" si="189"/>
        <v>1.0601096403384529</v>
      </c>
      <c r="AM251" s="10">
        <f t="shared" si="189"/>
        <v>1.1245757671157912</v>
      </c>
      <c r="AN251" s="10">
        <f t="shared" si="189"/>
        <v>1.1890418938931295</v>
      </c>
      <c r="AO251" s="10">
        <f t="shared" si="189"/>
        <v>1.2535080206704678</v>
      </c>
      <c r="AP251" s="10">
        <f t="shared" si="189"/>
        <v>1.3179741474478064</v>
      </c>
      <c r="AQ251" s="10">
        <f t="shared" si="189"/>
        <v>1.3824402742251449</v>
      </c>
      <c r="AR251" s="10">
        <f t="shared" si="189"/>
        <v>1.4469064010024832</v>
      </c>
      <c r="AS251" s="10">
        <f t="shared" si="189"/>
        <v>1.5113725277798216</v>
      </c>
      <c r="AT251" s="10">
        <f t="shared" si="189"/>
        <v>1.5758386545571599</v>
      </c>
      <c r="AU251" s="10">
        <f t="shared" si="189"/>
        <v>1.6426924156595848</v>
      </c>
      <c r="AV251" s="10">
        <f t="shared" si="189"/>
        <v>1.7095461767620097</v>
      </c>
      <c r="AW251" s="10">
        <f t="shared" si="189"/>
        <v>1.7763999378644346</v>
      </c>
      <c r="AX251" s="10">
        <f t="shared" si="189"/>
        <v>1.8432536989668595</v>
      </c>
      <c r="AY251" s="10">
        <f t="shared" si="189"/>
        <v>1.9101074600692847</v>
      </c>
      <c r="AZ251" s="10">
        <f t="shared" si="189"/>
        <v>1.9101074600692847</v>
      </c>
      <c r="BA251" s="10">
        <f t="shared" si="189"/>
        <v>1.9101074600692847</v>
      </c>
      <c r="BB251" s="10">
        <f t="shared" si="189"/>
        <v>1.9101074600692847</v>
      </c>
      <c r="BC251" s="10">
        <f t="shared" si="189"/>
        <v>1.9101074600692847</v>
      </c>
      <c r="BD251" s="10">
        <f t="shared" si="189"/>
        <v>1.9101074600692847</v>
      </c>
      <c r="BE251" s="10">
        <f t="shared" si="189"/>
        <v>1.9101074600692847</v>
      </c>
      <c r="BF251" s="10">
        <f t="shared" si="189"/>
        <v>1.9101074600692847</v>
      </c>
      <c r="BG251" s="10">
        <f t="shared" si="189"/>
        <v>1.9101074600692847</v>
      </c>
      <c r="BH251" s="10">
        <f t="shared" si="189"/>
        <v>1.9101074600692847</v>
      </c>
      <c r="BI251" s="10">
        <f t="shared" si="189"/>
        <v>1.9101074600692847</v>
      </c>
    </row>
    <row r="252" spans="1:61"/>
  </sheetData>
  <mergeCells count="35">
    <mergeCell ref="A248:A249"/>
    <mergeCell ref="A235:A236"/>
    <mergeCell ref="A97:A98"/>
    <mergeCell ref="S41:U41"/>
    <mergeCell ref="AA39:AH40"/>
    <mergeCell ref="S40:U40"/>
    <mergeCell ref="W40:Y40"/>
    <mergeCell ref="W41:Y41"/>
    <mergeCell ref="A213:A214"/>
    <mergeCell ref="P213:P214"/>
    <mergeCell ref="S39:U39"/>
    <mergeCell ref="W39:Y39"/>
    <mergeCell ref="Q213:Q214"/>
    <mergeCell ref="A114:A115"/>
    <mergeCell ref="A111:V113"/>
    <mergeCell ref="A109:V110"/>
    <mergeCell ref="A36:V38"/>
    <mergeCell ref="A18:V19"/>
    <mergeCell ref="A20:V21"/>
    <mergeCell ref="A26:V27"/>
    <mergeCell ref="A28:V29"/>
    <mergeCell ref="S228:Z229"/>
    <mergeCell ref="A137:V138"/>
    <mergeCell ref="A197:V198"/>
    <mergeCell ref="A211:V212"/>
    <mergeCell ref="A61:V62"/>
    <mergeCell ref="A63:V64"/>
    <mergeCell ref="A67:V68"/>
    <mergeCell ref="A69:V70"/>
    <mergeCell ref="S77:Z78"/>
    <mergeCell ref="A233:V234"/>
    <mergeCell ref="A231:V232"/>
    <mergeCell ref="A240:V241"/>
    <mergeCell ref="A244:V247"/>
    <mergeCell ref="A242:V243"/>
  </mergeCells>
  <conditionalFormatting sqref="T43:T56">
    <cfRule type="colorScale" priority="4">
      <colorScale>
        <cfvo type="min"/>
        <cfvo type="percentile" val="50"/>
        <cfvo type="max"/>
        <color rgb="FF63BE7B"/>
        <color rgb="FFFFEB84"/>
        <color rgb="FFF8696B"/>
      </colorScale>
    </cfRule>
  </conditionalFormatting>
  <conditionalFormatting sqref="U43:U56">
    <cfRule type="colorScale" priority="3">
      <colorScale>
        <cfvo type="min"/>
        <cfvo type="percentile" val="50"/>
        <cfvo type="max"/>
        <color rgb="FF63BE7B"/>
        <color rgb="FFFFEB84"/>
        <color rgb="FFF8696B"/>
      </colorScale>
    </cfRule>
  </conditionalFormatting>
  <conditionalFormatting sqref="X43:X56">
    <cfRule type="colorScale" priority="2">
      <colorScale>
        <cfvo type="min"/>
        <cfvo type="percentile" val="50"/>
        <cfvo type="max"/>
        <color rgb="FF63BE7B"/>
        <color rgb="FFFFEB84"/>
        <color rgb="FFF8696B"/>
      </colorScale>
    </cfRule>
  </conditionalFormatting>
  <conditionalFormatting sqref="Y43:Y56">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Wstęp</vt:lpstr>
      <vt:lpstr>Założenia</vt:lpstr>
      <vt:lpstr>Emisje W0 trasa istniejąca</vt:lpstr>
      <vt:lpstr>Emisje WI trasa istniejąca</vt:lpstr>
      <vt:lpstr>Emisje WI trasa nowa</vt:lpstr>
      <vt:lpstr>Wskaźnik redukcji emisji</vt:lpstr>
      <vt:lpstr>Indeksacja</vt:lpstr>
      <vt:lpstr>VOC eksploatacja samochody</vt:lpstr>
      <vt:lpstr>Zmiany klimatu (GHG) samochody</vt:lpstr>
      <vt:lpstr>Zanieczyszczenia samochody</vt:lpstr>
      <vt:lpstr>Zanieczyszczenia transp.ląd</vt:lpstr>
      <vt:lpstr>ECT2019 koszty zewnętrzne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Mierzejewski</dc:creator>
  <cp:lastModifiedBy>Marta Lorczyk</cp:lastModifiedBy>
  <dcterms:created xsi:type="dcterms:W3CDTF">2020-10-08T13:28:33Z</dcterms:created>
  <dcterms:modified xsi:type="dcterms:W3CDTF">2023-04-11T09:38:40Z</dcterms:modified>
</cp:coreProperties>
</file>